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1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44" yWindow="65468" windowWidth="10039" windowHeight="12294" activeTab="0"/>
  </bookViews>
  <sheets>
    <sheet name="Info" sheetId="1" r:id="rId1"/>
    <sheet name="0 Anforderungen AFP" sheetId="2" r:id="rId2"/>
    <sheet name=" 1 ZS-Aufzf..-Mast" sheetId="3" r:id="rId3"/>
    <sheet name="2  ZS-Babyf.-Aufz." sheetId="4" r:id="rId4"/>
    <sheet name="3 Vergl. FE-MÄ" sheetId="5" r:id="rId5"/>
    <sheet name="4 Vergl. BabyFE- Aufz." sheetId="6" r:id="rId6"/>
    <sheet name="5 Vergleich Fe.erzeug." sheetId="7" r:id="rId7"/>
    <sheet name="6 Vergl. Aufz.-Mast" sheetId="8" r:id="rId8"/>
  </sheets>
  <externalReferences>
    <externalReference r:id="rId11"/>
  </externalReferences>
  <definedNames>
    <definedName name="_xlnm.Print_Area" localSheetId="2">' 1 ZS-Aufzf..-Mast'!$B$1:$I$66,' 1 ZS-Aufzf..-Mast'!$B$68:$I$247,' 1 ZS-Aufzf..-Mast'!$B$274:$I$278</definedName>
    <definedName name="_xlnm.Print_Area" localSheetId="3">'2  ZS-Babyf.-Aufz.'!$B$1:$I$59,'2  ZS-Babyf.-Aufz.'!$B$65:$I$237</definedName>
    <definedName name="_xlnm.Print_Area" localSheetId="4">'3 Vergl. FE-MÄ'!$B$2:$I$25</definedName>
    <definedName name="_xlnm.Print_Area" localSheetId="5">'4 Vergl. BabyFE- Aufz.'!$B$2:$H$26</definedName>
    <definedName name="_xlnm.Print_Area" localSheetId="6">'5 Vergleich Fe.erzeug.'!$B$2:$G$23</definedName>
    <definedName name="_xlnm.Print_Area" localSheetId="0">'Info'!$B$2:$H$44</definedName>
  </definedNames>
  <calcPr fullCalcOnLoad="1"/>
</workbook>
</file>

<file path=xl/comments3.xml><?xml version="1.0" encoding="utf-8"?>
<comments xmlns="http://schemas.openxmlformats.org/spreadsheetml/2006/main">
  <authors>
    <author>SeggerV</author>
    <author>Segger, Volker (LEL)</author>
  </authors>
  <commentList>
    <comment ref="H82" authorId="0">
      <text>
        <r>
          <rPr>
            <b/>
            <sz val="8"/>
            <rFont val="Tahoma"/>
            <family val="2"/>
          </rPr>
          <t>SeggerV:</t>
        </r>
        <r>
          <rPr>
            <sz val="8"/>
            <rFont val="Tahoma"/>
            <family val="2"/>
          </rPr>
          <t xml:space="preserve">
entfällt bei selbst erzeugten Ferkeln (geschlossenem System)</t>
        </r>
      </text>
    </comment>
    <comment ref="H10" authorId="1">
      <text>
        <r>
          <rPr>
            <b/>
            <sz val="9"/>
            <rFont val="Tahoma"/>
            <family val="2"/>
          </rPr>
          <t>Segger, Volker (LEL):</t>
        </r>
        <r>
          <rPr>
            <sz val="9"/>
            <rFont val="Tahoma"/>
            <family val="2"/>
          </rPr>
          <t xml:space="preserve">
Die Höhe des Zuschusssatzes hat wegen der Anforderungen im Bereich Tierschutz Auswirkungen auf die Baukosten je Platz (Zelle D 29)</t>
        </r>
      </text>
    </comment>
    <comment ref="B30" authorId="1">
      <text>
        <r>
          <rPr>
            <b/>
            <sz val="8"/>
            <rFont val="Tahoma"/>
            <family val="2"/>
          </rPr>
          <t>Segger, Volker (LEL):</t>
        </r>
        <r>
          <rPr>
            <sz val="8"/>
            <rFont val="Tahoma"/>
            <family val="2"/>
          </rPr>
          <t xml:space="preserve">
Maßgeblich für die Berechnung der Jahreskosten der Investition.</t>
        </r>
      </text>
    </comment>
    <comment ref="D91" authorId="1">
      <text>
        <r>
          <rPr>
            <b/>
            <sz val="8"/>
            <rFont val="Tahoma"/>
            <family val="2"/>
          </rPr>
          <t>Segger, Volker (LEL):</t>
        </r>
        <r>
          <rPr>
            <sz val="8"/>
            <rFont val="Tahoma"/>
            <family val="2"/>
          </rPr>
          <t xml:space="preserve">
Orientierungswerte zu den Baukosten ab Excel-Zeile 275.
</t>
        </r>
      </text>
    </comment>
    <comment ref="D29" authorId="1">
      <text>
        <r>
          <rPr>
            <b/>
            <sz val="8"/>
            <rFont val="Tahoma"/>
            <family val="2"/>
          </rPr>
          <t>Segger, Volker (LEL):</t>
        </r>
        <r>
          <rPr>
            <sz val="8"/>
            <rFont val="Tahoma"/>
            <family val="2"/>
          </rPr>
          <t xml:space="preserve">
Orientierungswerte zu den Baukosten ab Excel-Zeile 275.
</t>
        </r>
      </text>
    </comment>
    <comment ref="D31" authorId="1">
      <text>
        <r>
          <rPr>
            <b/>
            <sz val="8"/>
            <rFont val="Tahoma"/>
            <family val="2"/>
          </rPr>
          <t>Segger, Volker (LEL):</t>
        </r>
        <r>
          <rPr>
            <sz val="8"/>
            <rFont val="Tahoma"/>
            <family val="2"/>
          </rPr>
          <t xml:space="preserve">
Orientierungswerte zu den Baukosten ab Excel-Zeile 275.
</t>
        </r>
      </text>
    </comment>
  </commentList>
</comments>
</file>

<file path=xl/comments4.xml><?xml version="1.0" encoding="utf-8"?>
<comments xmlns="http://schemas.openxmlformats.org/spreadsheetml/2006/main">
  <authors>
    <author>Volker Segger</author>
    <author>SeggerV</author>
    <author>Segger, Volker (LEL)</author>
  </authors>
  <commentList>
    <comment ref="D14" authorId="0">
      <text>
        <r>
          <rPr>
            <b/>
            <sz val="10"/>
            <rFont val="Tahoma"/>
            <family val="2"/>
          </rPr>
          <t xml:space="preserve">Eingabe des Ferkelpreises auf Arb.blatt ZS-Aufz.-Ferkel_Mast, Zelle D 14
</t>
        </r>
      </text>
    </comment>
    <comment ref="D28" authorId="1">
      <text>
        <r>
          <rPr>
            <sz val="12"/>
            <rFont val="Tahoma"/>
            <family val="2"/>
          </rPr>
          <t xml:space="preserve">Eingabe des Preises bei Zuchtsau mit Aufzuchtferkeln
</t>
        </r>
      </text>
    </comment>
    <comment ref="H18" authorId="1">
      <text>
        <r>
          <rPr>
            <sz val="12"/>
            <rFont val="Tahoma"/>
            <family val="2"/>
          </rPr>
          <t xml:space="preserve">Eingabe des Preises bei Zuchtsau mit Aufzuchtferkeln
</t>
        </r>
      </text>
    </comment>
    <comment ref="H79" authorId="1">
      <text>
        <r>
          <rPr>
            <sz val="12"/>
            <rFont val="Tahoma"/>
            <family val="2"/>
          </rPr>
          <t xml:space="preserve">Eingabe des Preises bei Zuchtsau mit Aufzuchtferkeln
</t>
        </r>
      </text>
    </comment>
    <comment ref="D77" authorId="1">
      <text>
        <r>
          <rPr>
            <b/>
            <sz val="11"/>
            <rFont val="Tahoma"/>
            <family val="2"/>
          </rPr>
          <t>SeggerV:</t>
        </r>
        <r>
          <rPr>
            <sz val="11"/>
            <rFont val="Tahoma"/>
            <family val="2"/>
          </rPr>
          <t xml:space="preserve">
Dateneingabe auf Reg.blatt 1, Zelle  D 14</t>
        </r>
      </text>
    </comment>
    <comment ref="H10" authorId="2">
      <text>
        <r>
          <rPr>
            <b/>
            <sz val="11"/>
            <rFont val="Tahoma"/>
            <family val="2"/>
          </rPr>
          <t>Segger, Volker (LEL):</t>
        </r>
        <r>
          <rPr>
            <sz val="11"/>
            <rFont val="Tahoma"/>
            <family val="2"/>
          </rPr>
          <t xml:space="preserve">
Die Höhe des Zuschusssatzes hat wegen der Anforderungen im Bereich Tierschutz Auswirkungen auf die Baukosten je Platz (Zelle D 29)</t>
        </r>
      </text>
    </comment>
    <comment ref="D29" authorId="2">
      <text>
        <r>
          <rPr>
            <b/>
            <sz val="12"/>
            <rFont val="Tahoma"/>
            <family val="2"/>
          </rPr>
          <t>Segger, Volker (LEL):</t>
        </r>
        <r>
          <rPr>
            <sz val="12"/>
            <rFont val="Tahoma"/>
            <family val="2"/>
          </rPr>
          <t xml:space="preserve">
Orientierungswerte zu den Baukosten ab Excel-Zeile 240.
</t>
        </r>
      </text>
    </comment>
    <comment ref="D91" authorId="2">
      <text>
        <r>
          <rPr>
            <b/>
            <sz val="11"/>
            <rFont val="Tahoma"/>
            <family val="2"/>
          </rPr>
          <t>Segger, Volker (LEL):</t>
        </r>
        <r>
          <rPr>
            <sz val="11"/>
            <rFont val="Tahoma"/>
            <family val="2"/>
          </rPr>
          <t xml:space="preserve">
Orientierungswerte zu den Baukosten ab Excel-Zeile 240.
</t>
        </r>
      </text>
    </comment>
  </commentList>
</comments>
</file>

<file path=xl/sharedStrings.xml><?xml version="1.0" encoding="utf-8"?>
<sst xmlns="http://schemas.openxmlformats.org/spreadsheetml/2006/main" count="814" uniqueCount="367">
  <si>
    <t>Hinweis : gelbe Felder sind Eingabefelder !</t>
  </si>
  <si>
    <t>Preise - Stand :</t>
  </si>
  <si>
    <t xml:space="preserve">Programm-Stand: </t>
  </si>
  <si>
    <t>Faktor Mwst.</t>
  </si>
  <si>
    <t>Mwst.satz ldw. Erzeugnisse</t>
  </si>
  <si>
    <t>%</t>
  </si>
  <si>
    <t>Mwst.satz Zukauffutter, Jungsau</t>
  </si>
  <si>
    <t xml:space="preserve">Lohnansatz / Std. </t>
  </si>
  <si>
    <t>Gülleanfall /Tier</t>
  </si>
  <si>
    <t>cbm</t>
  </si>
  <si>
    <t>kg</t>
  </si>
  <si>
    <t>Düngerwert / cbm Gülle</t>
  </si>
  <si>
    <t>Tatsächliches Ferkelgewicht</t>
  </si>
  <si>
    <t>davon</t>
  </si>
  <si>
    <t>Tierarzt, Medikamente</t>
  </si>
  <si>
    <t>Verluste, Versicherungen</t>
  </si>
  <si>
    <t>Besamung</t>
  </si>
  <si>
    <t>Schlachtgewicht Altsau</t>
  </si>
  <si>
    <t>Energie, Wasser</t>
  </si>
  <si>
    <t>Altsauenpreis M 1 ( o. Mwst. )</t>
  </si>
  <si>
    <t>var. Maschinenkosten</t>
  </si>
  <si>
    <t>Jungsauenpreis ( o. Mwst.)</t>
  </si>
  <si>
    <t>Beratung, Kontrolle</t>
  </si>
  <si>
    <t>Nutzungsdauer / Sau</t>
  </si>
  <si>
    <t>Jahre</t>
  </si>
  <si>
    <t>Sauenfutter je Sau</t>
  </si>
  <si>
    <t>dt</t>
  </si>
  <si>
    <t>Sauenfutter (o. Mwst.)</t>
  </si>
  <si>
    <t>Gemeinkosten je Sauenplatz</t>
  </si>
  <si>
    <t>Std.</t>
  </si>
  <si>
    <t>Anteiliger Altsauenerlös</t>
  </si>
  <si>
    <t>Düngerwert</t>
  </si>
  <si>
    <t>Ferkelfutter / Sau</t>
  </si>
  <si>
    <t>Bestandsergänzung</t>
  </si>
  <si>
    <t>Sonst. Kosten / Sau ( inkl. Zinsansatz )</t>
  </si>
  <si>
    <t>Summe variable Kosten</t>
  </si>
  <si>
    <t>Deckungsbeitrag</t>
  </si>
  <si>
    <t>Festkosten Stall</t>
  </si>
  <si>
    <t>Gemeinkosten</t>
  </si>
  <si>
    <t>Gewinn</t>
  </si>
  <si>
    <t>Lohnansatz</t>
  </si>
  <si>
    <t>Hinweis : gelbe Felder sind Eingabefelder</t>
  </si>
  <si>
    <t>Mwst.satz Zukauffutter, Ferkel</t>
  </si>
  <si>
    <t xml:space="preserve">Schweinemast </t>
  </si>
  <si>
    <t>Schlachtgewicht</t>
  </si>
  <si>
    <t>Ausschlachtung</t>
  </si>
  <si>
    <t>Tägliche Zunahmen</t>
  </si>
  <si>
    <t>g</t>
  </si>
  <si>
    <t>Leertage je Umtrieb</t>
  </si>
  <si>
    <t>Tage</t>
  </si>
  <si>
    <t>Umtriebe / Platz</t>
  </si>
  <si>
    <t>Gemeinkosten je Mastplatz</t>
  </si>
  <si>
    <t>Arbeitsbedarf  / Platz</t>
  </si>
  <si>
    <t>Lebendgewicht / Mastschwein</t>
  </si>
  <si>
    <t>Zuwachs je Mastschwein</t>
  </si>
  <si>
    <t>Futterverbrauch</t>
  </si>
  <si>
    <t>Futterkosten/Tier</t>
  </si>
  <si>
    <t>Sonst. var. Kosten ( inkl. Zinsansatz )</t>
  </si>
  <si>
    <t>Festkosten / Mastplatz</t>
  </si>
  <si>
    <t>Gemeinkosten / Mastplatz</t>
  </si>
  <si>
    <t>Lohnansatz / MPl.</t>
  </si>
  <si>
    <t>Saugferkelfutter je Ferkel</t>
  </si>
  <si>
    <t>Tats. Gewicht Babyferkel</t>
  </si>
  <si>
    <t>Gewichtszuschlag Baby-F. ( ü. / unter Basisgew. )</t>
  </si>
  <si>
    <t>Saugferkelfutter ( o. Mwst. )</t>
  </si>
  <si>
    <t>Ferkelgewicht</t>
  </si>
  <si>
    <r>
      <t>Summe Leistungen</t>
    </r>
    <r>
      <rPr>
        <sz val="16"/>
        <rFont val="Arial"/>
        <family val="2"/>
      </rPr>
      <t xml:space="preserve"> ( inkl. Düngerwert )</t>
    </r>
  </si>
  <si>
    <t>Ferkelfutter je Sau</t>
  </si>
  <si>
    <t>Saugferkelfutter je Sau</t>
  </si>
  <si>
    <t>Ferkelaufzucht</t>
  </si>
  <si>
    <t>Tats. Gewicht Aufzuchtferkel</t>
  </si>
  <si>
    <t>Absetzerfutter / Tier</t>
  </si>
  <si>
    <t>kg / St.</t>
  </si>
  <si>
    <t>Babyferkelpreis beim Basisgewicht ( o.Mwst.)</t>
  </si>
  <si>
    <t>var. Masch.kosten</t>
  </si>
  <si>
    <t>Basisgewicht Babyferkel</t>
  </si>
  <si>
    <t>Kosten Babyferkelbezug ( bzw. Handelsspanne )</t>
  </si>
  <si>
    <t>Ferkelaufzuchtfutter ( o. Mwst.)</t>
  </si>
  <si>
    <t>Absetzerfutter ( o. Mwst. )</t>
  </si>
  <si>
    <t>Gemeinkosten je Aufzuchtplatz</t>
  </si>
  <si>
    <t>Leistungsniveau</t>
  </si>
  <si>
    <t>niedrig</t>
  </si>
  <si>
    <t>mittel</t>
  </si>
  <si>
    <t>hoch</t>
  </si>
  <si>
    <t xml:space="preserve"> 1 :</t>
  </si>
  <si>
    <t>Verluste</t>
  </si>
  <si>
    <r>
      <t>Leistung insg. / Tier</t>
    </r>
    <r>
      <rPr>
        <sz val="16"/>
        <rFont val="Arial"/>
        <family val="2"/>
      </rPr>
      <t xml:space="preserve"> ( inkl. Düngerwert )  </t>
    </r>
  </si>
  <si>
    <t>Zuwachs je Ferkel</t>
  </si>
  <si>
    <t>Sonst. variable Kosten ( inkl. Zinsansatz )</t>
  </si>
  <si>
    <t>Gemeinkosten / Platz</t>
  </si>
  <si>
    <t>Lohnansatz / Pl.</t>
  </si>
  <si>
    <t xml:space="preserve">Deckungsbeitrag </t>
  </si>
  <si>
    <t xml:space="preserve">Erzielter Stundenlohn bei Neubau </t>
  </si>
  <si>
    <t>Kalkulatorisches Betriebszweigergebnis / Pl.</t>
  </si>
  <si>
    <t>Mast</t>
  </si>
  <si>
    <t>Futterverwertung</t>
  </si>
  <si>
    <t>Deckungsbeitrag je Platz</t>
  </si>
  <si>
    <t>Akh - Bedarf ( Std. ) / Pl.</t>
  </si>
  <si>
    <t>Futterkosten</t>
  </si>
  <si>
    <r>
      <t xml:space="preserve">          </t>
    </r>
    <r>
      <rPr>
        <sz val="48"/>
        <color indexed="10"/>
        <rFont val="Arial"/>
        <family val="2"/>
      </rPr>
      <t xml:space="preserve">     </t>
    </r>
    <r>
      <rPr>
        <b/>
        <sz val="40"/>
        <color indexed="10"/>
        <rFont val="Arial"/>
        <family val="2"/>
      </rPr>
      <t>VOKO-SAU</t>
    </r>
    <r>
      <rPr>
        <sz val="48"/>
        <color indexed="10"/>
        <rFont val="Arial"/>
        <family val="2"/>
      </rPr>
      <t xml:space="preserve">    </t>
    </r>
    <r>
      <rPr>
        <sz val="20"/>
        <color indexed="10"/>
        <rFont val="Arial"/>
        <family val="2"/>
      </rPr>
      <t>( Vollkosten Schweinehaltung )</t>
    </r>
  </si>
  <si>
    <t>d) Aufzucht von Babyferkeln</t>
  </si>
  <si>
    <t xml:space="preserve"> - bei der Ferkelerzeugung nach der Zahl der aufgezogenen Ferkel</t>
  </si>
  <si>
    <t xml:space="preserve"> - bei der Mast nach der Höhe der Vermarktungskosten</t>
  </si>
  <si>
    <t xml:space="preserve"> - bei der Ferkelaufzucht nach der Futterverwertung und den Verlusten.</t>
  </si>
  <si>
    <r>
      <t xml:space="preserve">Als wichtige </t>
    </r>
    <r>
      <rPr>
        <b/>
        <sz val="14"/>
        <rFont val="Arial"/>
        <family val="2"/>
      </rPr>
      <t>Erfolgskriterien</t>
    </r>
    <r>
      <rPr>
        <sz val="14"/>
        <rFont val="Arial"/>
        <family val="2"/>
      </rPr>
      <t xml:space="preserve"> der Verfahren werden ausgewiesen :</t>
    </r>
  </si>
  <si>
    <t xml:space="preserve"> - Erzeugungskosten je Ferkel bzw. Mastschwein</t>
  </si>
  <si>
    <t xml:space="preserve"> - Kostendeckende Ferkel- bzw. Schlachtschweinenotierung</t>
  </si>
  <si>
    <t>( mittleres Leistungsniveau )</t>
  </si>
  <si>
    <t>Ergebnis:</t>
  </si>
  <si>
    <t>Kostendeckende Spanne zw. Ferkelein-</t>
  </si>
  <si>
    <r>
      <t xml:space="preserve">stands und -verkaufspreis </t>
    </r>
    <r>
      <rPr>
        <sz val="14"/>
        <color indexed="8"/>
        <rFont val="Arial"/>
        <family val="2"/>
      </rPr>
      <t>( jeweils Bruttopreise )</t>
    </r>
  </si>
  <si>
    <r>
      <t xml:space="preserve">Die  </t>
    </r>
    <r>
      <rPr>
        <b/>
        <sz val="14"/>
        <rFont val="Arial"/>
        <family val="2"/>
      </rPr>
      <t xml:space="preserve">weiß </t>
    </r>
    <r>
      <rPr>
        <sz val="14"/>
        <rFont val="Arial"/>
        <family val="2"/>
      </rPr>
      <t xml:space="preserve"> hinterlegten Felder sind mit Formeln belegt und können nicht verändert werden.</t>
    </r>
  </si>
  <si>
    <t>Quelle:  Arbeitsblätter in dieser Datei ( direkt verknüpft ).</t>
  </si>
  <si>
    <r>
      <t xml:space="preserve">Alle Verfahren sind nach  </t>
    </r>
    <r>
      <rPr>
        <b/>
        <sz val="14"/>
        <rFont val="Arial"/>
        <family val="2"/>
      </rPr>
      <t xml:space="preserve">3  Leistungsstufen </t>
    </r>
    <r>
      <rPr>
        <sz val="14"/>
        <rFont val="Arial"/>
        <family val="2"/>
      </rPr>
      <t xml:space="preserve">  differenziert:</t>
    </r>
  </si>
  <si>
    <t>€/St.</t>
  </si>
  <si>
    <t>€/dt</t>
  </si>
  <si>
    <t>€/ Pl.</t>
  </si>
  <si>
    <t>€</t>
  </si>
  <si>
    <t>€ / kg</t>
  </si>
  <si>
    <t>€/kg</t>
  </si>
  <si>
    <t>€ / St.</t>
  </si>
  <si>
    <r>
      <t xml:space="preserve">Gewichtszu-/abschlag Babyferkel </t>
    </r>
    <r>
      <rPr>
        <sz val="12"/>
        <rFont val="Arial"/>
        <family val="2"/>
      </rPr>
      <t>(zum Basisgewicht)</t>
    </r>
  </si>
  <si>
    <t>Akh - Bedarf je Sau ( Std. )</t>
  </si>
  <si>
    <t>Sonstige variable  Kosten ( inkl. Mwst.)</t>
  </si>
  <si>
    <t>je Tier</t>
  </si>
  <si>
    <t>je Platz</t>
  </si>
  <si>
    <t>St.</t>
  </si>
  <si>
    <t>€/Ferkel</t>
  </si>
  <si>
    <t>Qualitäts-, Mengen- u. Impfzuschläge</t>
  </si>
  <si>
    <t>Leistungsniveau ( verkaufte Ferkel )</t>
  </si>
  <si>
    <t>Kapitalverzinsung</t>
  </si>
  <si>
    <t>Erzielte Kapitalverzinsung</t>
  </si>
  <si>
    <t>Dschn. Mengen- und Qualitätszuschlag</t>
  </si>
  <si>
    <t>Dr. Volker Segger, LEL Schwäbisch Gmünd</t>
  </si>
  <si>
    <t>Deckungsbeitrag je Sau</t>
  </si>
  <si>
    <t xml:space="preserve">Deckungsbeitrag  </t>
  </si>
  <si>
    <t xml:space="preserve">je Tier  </t>
  </si>
  <si>
    <t xml:space="preserve">je Mastplatz  </t>
  </si>
  <si>
    <t xml:space="preserve">je Platz   </t>
  </si>
  <si>
    <t>je Std.</t>
  </si>
  <si>
    <t>je Sau</t>
  </si>
  <si>
    <t xml:space="preserve">Kalkulatorisches Betriebszweigergebnis </t>
  </si>
  <si>
    <t>1. Ziele des Programms</t>
  </si>
  <si>
    <t>2. Programmaufbau</t>
  </si>
  <si>
    <t>3. Ergebnisse</t>
  </si>
  <si>
    <t xml:space="preserve">je Tier     </t>
  </si>
  <si>
    <t>Vermarktungskosten je Mastschwein</t>
  </si>
  <si>
    <t>Akh - Bedarf je Platz ( Std. )</t>
  </si>
  <si>
    <t>DB in % von Fest-, Gemein- u. Arbeitskosten</t>
  </si>
  <si>
    <t>Deckung von Festkosten und Arbeit</t>
  </si>
  <si>
    <t>Vergleich konventionelle Ferkelerzeugung und Mast</t>
  </si>
  <si>
    <t>€ / Std.</t>
  </si>
  <si>
    <t>Gewichtszuschlag Ferkel (über Basisgewicht)</t>
  </si>
  <si>
    <t>Basisgewicht Ferkel für obigen Preis</t>
  </si>
  <si>
    <t>Baby-Ferkelpreis in % der obigen Notierung</t>
  </si>
  <si>
    <t>Baby-Ferkelpreis ( beim Basisgewicht Babyferkel)</t>
  </si>
  <si>
    <t>Begrüßungsfutter (o. Mwst.)</t>
  </si>
  <si>
    <t>Kostendeckender Erzeugerpreis :</t>
  </si>
  <si>
    <t>Kostendeckende Spanne zwischen Ferkeleinkauf und -verkauf (brutto)</t>
  </si>
  <si>
    <t xml:space="preserve"> %</t>
  </si>
  <si>
    <t>Versicherungen, Sonst.</t>
  </si>
  <si>
    <t>Begrüßungsfutter /Tier</t>
  </si>
  <si>
    <t xml:space="preserve">in  % des Ferkelbasispreises </t>
  </si>
  <si>
    <t>Basisgewicht Ferkel für obigen Preis (kg)</t>
  </si>
  <si>
    <t>Basisgewicht für Preisfindung Babyferkel (kg)</t>
  </si>
  <si>
    <t>Deckungsbeitrag je Tier</t>
  </si>
  <si>
    <t>Ferkelverkauf:</t>
  </si>
  <si>
    <t>Babyferkeleinkauf:</t>
  </si>
  <si>
    <t xml:space="preserve">Datum: </t>
  </si>
  <si>
    <t>var. Maschinenkosten inkl. Gülleausbr.</t>
  </si>
  <si>
    <t xml:space="preserve">Futterverwertung                                                   </t>
  </si>
  <si>
    <t xml:space="preserve">  1:  </t>
  </si>
  <si>
    <r>
      <t>Zuschläge Babyferkel</t>
    </r>
    <r>
      <rPr>
        <sz val="12"/>
        <rFont val="Arial"/>
        <family val="2"/>
      </rPr>
      <t xml:space="preserve"> ( z. B. Menge, Myko., Genetik ) </t>
    </r>
  </si>
  <si>
    <t>Beispiel</t>
  </si>
  <si>
    <r>
      <t>Summe Leistungen</t>
    </r>
    <r>
      <rPr>
        <sz val="12"/>
        <rFont val="Arial"/>
        <family val="2"/>
      </rPr>
      <t xml:space="preserve"> ( inkl. Düngerwert )</t>
    </r>
  </si>
  <si>
    <r>
      <t xml:space="preserve">               </t>
    </r>
    <r>
      <rPr>
        <b/>
        <sz val="22"/>
        <color indexed="10"/>
        <rFont val="Arial"/>
        <family val="2"/>
      </rPr>
      <t>VOKO-SAU</t>
    </r>
    <r>
      <rPr>
        <sz val="22"/>
        <color indexed="10"/>
        <rFont val="Arial"/>
        <family val="2"/>
      </rPr>
      <t xml:space="preserve">    ( Vollkosten Schweinehaltung )</t>
    </r>
  </si>
  <si>
    <r>
      <t xml:space="preserve">               </t>
    </r>
    <r>
      <rPr>
        <b/>
        <sz val="20"/>
        <color indexed="10"/>
        <rFont val="Arial"/>
        <family val="2"/>
      </rPr>
      <t>VOKO-SAU</t>
    </r>
    <r>
      <rPr>
        <sz val="20"/>
        <color indexed="10"/>
        <rFont val="Arial"/>
        <family val="2"/>
      </rPr>
      <t xml:space="preserve">    ( Vollkosten Schweinehaltung )</t>
    </r>
  </si>
  <si>
    <t>Handelsspanne / F. ( sofern nicht in Zuschlägen enth.)</t>
  </si>
  <si>
    <r>
      <t>Leistung insg. / Tier</t>
    </r>
    <r>
      <rPr>
        <sz val="11"/>
        <color indexed="8"/>
        <rFont val="Arial"/>
        <family val="2"/>
      </rPr>
      <t xml:space="preserve"> ( inkl. Düngerwert )  </t>
    </r>
  </si>
  <si>
    <t>Tierarzt, Medikam. (inkl. Myko)</t>
  </si>
  <si>
    <t xml:space="preserve">Zuschlag/Abschlag für Gewicht </t>
  </si>
  <si>
    <t>DB je Mastplatz</t>
  </si>
  <si>
    <t>Notwendiger Schweinepreis beim kostendeckenden Ferkelpreis</t>
  </si>
  <si>
    <t>Kostendeckender Aufzuchtferkelpreis
(Notierung 25 kg)</t>
  </si>
  <si>
    <t xml:space="preserve"> - zur Deckung der Vollkosten (langfr. Prod.schwelle)</t>
  </si>
  <si>
    <t xml:space="preserve"> - zur Deckung der var.Kosten (kurzfr. Prod.schwelle)</t>
  </si>
  <si>
    <t>DB je Zuchtsau</t>
  </si>
  <si>
    <t>Futter</t>
  </si>
  <si>
    <t>Ferkel</t>
  </si>
  <si>
    <t>Stall</t>
  </si>
  <si>
    <t>Arbeit</t>
  </si>
  <si>
    <t>Summe Kosten</t>
  </si>
  <si>
    <t>Nebenleistungen</t>
  </si>
  <si>
    <t>Vermarktung</t>
  </si>
  <si>
    <t>Summe</t>
  </si>
  <si>
    <t>notw. Erlös</t>
  </si>
  <si>
    <t>je Ferkel</t>
  </si>
  <si>
    <t>sonst. var. Kosten</t>
  </si>
  <si>
    <t>Stall u. Gemeinkosten</t>
  </si>
  <si>
    <t>Ferkelerzeugung</t>
  </si>
  <si>
    <t>notw. Ferkelnotierung (25 kg) zur Deckung der Vollkosten</t>
  </si>
  <si>
    <t>notw. Ferkelnotierung (25 kg) zur Deckung der variablen Kosten</t>
  </si>
  <si>
    <t>Arbeitseinkommen</t>
  </si>
  <si>
    <t>Erforderlicher Schweinepreis zur Deckung der Vollkosten beim aktuellen Ferkelpreis</t>
  </si>
  <si>
    <t>Erforderlicher Schweinepreis zur Deckung der variablen Kosten beim aktuellen Ferkelpreis</t>
  </si>
  <si>
    <t>netto</t>
  </si>
  <si>
    <t>aktueller DB</t>
  </si>
  <si>
    <t>Mengenzuschlag</t>
  </si>
  <si>
    <t>Mengenabschlag</t>
  </si>
  <si>
    <t>Kosten Arbeit</t>
  </si>
  <si>
    <t>Kosten Stall und Gemeinkosten</t>
  </si>
  <si>
    <t>Kosten Stall und Gemeinkosten einschl. Arbeitskosten</t>
  </si>
  <si>
    <t>Arbeitseinkommen je Std.</t>
  </si>
  <si>
    <t xml:space="preserve">Verkaufte Ferkel je Sau und Jahr </t>
  </si>
  <si>
    <t xml:space="preserve"> bei diesem Preis ist das kalkulatorische Betriebzweigergebnis Null</t>
  </si>
  <si>
    <t xml:space="preserve"> bei diesem Preis ist der Deckungsbeitrag Null</t>
  </si>
  <si>
    <r>
      <t xml:space="preserve">Erzeugungskosten je Ferkel
</t>
    </r>
    <r>
      <rPr>
        <sz val="12"/>
        <color indexed="8"/>
        <rFont val="Arial"/>
        <family val="2"/>
      </rPr>
      <t xml:space="preserve">(abz. Nebenleistungen)
 </t>
    </r>
    <r>
      <rPr>
        <b/>
        <sz val="14"/>
        <color indexed="8"/>
        <rFont val="Arial"/>
        <family val="2"/>
      </rPr>
      <t>= notwendiger Ferkelerlös</t>
    </r>
  </si>
  <si>
    <t>Zu-/Abschläge wg. Qualität u. Maskenschlupf</t>
  </si>
  <si>
    <r>
      <t xml:space="preserve">Gesamte Erzeugungskosten beim </t>
    </r>
    <r>
      <rPr>
        <b/>
        <sz val="14"/>
        <color indexed="10"/>
        <rFont val="Arial"/>
        <family val="2"/>
      </rPr>
      <t>kosten-</t>
    </r>
  </si>
  <si>
    <r>
      <t>deckenden</t>
    </r>
    <r>
      <rPr>
        <b/>
        <sz val="14"/>
        <color indexed="8"/>
        <rFont val="Arial"/>
        <family val="2"/>
      </rPr>
      <t xml:space="preserve"> Ferkelpreis </t>
    </r>
  </si>
  <si>
    <t>Erforderlicher  Basispreis je kg SG (netto)</t>
  </si>
  <si>
    <t>entsprechender Basispreis je kg SG (netto)</t>
  </si>
  <si>
    <t>Absetzerfutter je Sau</t>
  </si>
  <si>
    <t>Saugferkelfutter je Ferkel (o. Mwst.)</t>
  </si>
  <si>
    <t>Ferkelfutter / Ferkel (inkl. 0,5 kg Saugferkelfutter)</t>
  </si>
  <si>
    <t>Absetzerfutter (o. Mwst.)</t>
  </si>
  <si>
    <t>Absetzerfutter je Ferkel</t>
  </si>
  <si>
    <t xml:space="preserve">Abgesetzte Babyferkel je Sau und Jahr </t>
  </si>
  <si>
    <r>
      <t xml:space="preserve">Kostendeckende 25 kg - Notierung </t>
    </r>
    <r>
      <rPr>
        <sz val="16"/>
        <color indexed="8"/>
        <rFont val="Arial"/>
        <family val="2"/>
      </rPr>
      <t>(o. Mwst.)</t>
    </r>
  </si>
  <si>
    <t>Ferkelaufzuchtutter je Ferkel (ab 7 kg)</t>
  </si>
  <si>
    <t>Basispreis / kg SG, o. Mwst.</t>
  </si>
  <si>
    <t>Erzielte Kapitalverzinsung bei vollem Lohnansatz</t>
  </si>
  <si>
    <r>
      <t xml:space="preserve">Erzeugungskosten / Ferkel brutto </t>
    </r>
    <r>
      <rPr>
        <b/>
        <sz val="13"/>
        <color indexed="8"/>
        <rFont val="Arial"/>
        <family val="2"/>
      </rPr>
      <t>( abzgl. Nebenleist. )</t>
    </r>
  </si>
  <si>
    <t>Vergleich:  Ferkelaufzucht und Mast</t>
  </si>
  <si>
    <t>Mwst. Regelsatz</t>
  </si>
  <si>
    <t xml:space="preserve">nein </t>
  </si>
  <si>
    <t xml:space="preserve">Zuchtsau mit Aufzuchtferkeln </t>
  </si>
  <si>
    <t>Zuchtsau mit Babyferkeln</t>
  </si>
  <si>
    <t>Vergleich:  Babyferkelerzeugung und Ferkelaufzucht</t>
  </si>
  <si>
    <t>a) Zuchtsau mit Aufzuchtferkeln</t>
  </si>
  <si>
    <t>c) Zuchtsau mit Babyferkeln</t>
  </si>
  <si>
    <t>b) Schweinemast</t>
  </si>
  <si>
    <t>Die Berechnungen können einerseits für zum Rechenzeitpunkt aktuelle Preisverhältnisse durchgeführt werden (aktuelle Wirtschaftlichkeit).</t>
  </si>
  <si>
    <t xml:space="preserve">Eine dritte Möglichkeit ist eine Kalkulation mit langfristig erwarteten Durchschnittspreisen. Sie kann als Entscheidungshilfe für beabsichtigte Investitionen dienen. </t>
  </si>
  <si>
    <t xml:space="preserve">Eine weitere Möglichkeit besteht darin, die erwartete Wirtschaftlichkeit eines jetzt eingestellten Durchgangs zu ermitteln, indem man sich z.B. bei den Verkaufspreisen an den Notierungen der Warenterminbörse orientiert. </t>
  </si>
  <si>
    <t xml:space="preserve">Berücksichtigung einer Investitionsförderung ?         </t>
  </si>
  <si>
    <t xml:space="preserve">ja </t>
  </si>
  <si>
    <r>
      <t xml:space="preserve">Erforderliche Ferkelnotierung 25 kg </t>
    </r>
    <r>
      <rPr>
        <b/>
        <sz val="12"/>
        <color indexed="8"/>
        <rFont val="Arial"/>
        <family val="2"/>
      </rPr>
      <t>(o. Mwst)</t>
    </r>
  </si>
  <si>
    <t xml:space="preserve">je Sau </t>
  </si>
  <si>
    <t xml:space="preserve">je Ferkel </t>
  </si>
  <si>
    <t>Berechnungen zur Schweinemast setzen Angaben zum Verfahren "Zuchtsau konventionell" (Zellen D 6 bis H 11) voraus !</t>
  </si>
  <si>
    <t>Berechnungen zur Ferkelaufzucht setzen Angaben zum Verfahren "Zuchtsau mit Babyferkel" (Zellen D 6 bis H 11) voraus !</t>
  </si>
  <si>
    <t>Qualitäts-, Mengen- u. Impfzuschläge je verkauftes Ferkel</t>
  </si>
  <si>
    <t>Vergleich Zuchtsauen mit Aufzucht- bzw. Babyferkeln</t>
  </si>
  <si>
    <t>Im oberen Teil der Registerblätter 1 und 2 sind die Rahmendaten festzusetzen, die für beide Verfahren des jeweiligen Blattes gelten: die verschiedenen Mehrwertsteuersätze, der Zinssatz für das gebundene Kapital, die Zuschusshöhe bei einer Investitionsförderung und der Lohnansatz für die benötigte Arbeit der Verfahren.</t>
  </si>
  <si>
    <t xml:space="preserve"> - Kostendeckende Spanne zwischen Babyferkeleinkaufs- und Läuferverkaufspreis (beim Aufzuchtbetrieb)</t>
  </si>
  <si>
    <t xml:space="preserve">Neubaukosten je Platz </t>
  </si>
  <si>
    <t>beim unterstellten Ferkelbasispreis</t>
  </si>
  <si>
    <t>beim kostendeckenden Ferkelbasispreis</t>
  </si>
  <si>
    <t>-</t>
  </si>
  <si>
    <t xml:space="preserve">Name: </t>
  </si>
  <si>
    <t xml:space="preserve">  Preise : </t>
  </si>
  <si>
    <t xml:space="preserve">Pauschalierung </t>
  </si>
  <si>
    <t xml:space="preserve">Regelbesteuerung </t>
  </si>
  <si>
    <t>x</t>
  </si>
  <si>
    <t xml:space="preserve">     Bezügl. der Mwst. wird gerechnet werden nach</t>
  </si>
  <si>
    <t xml:space="preserve">Sonst. Kosten /Sau </t>
  </si>
  <si>
    <t>Kosten brutto (inkl. Mwst.):</t>
  </si>
  <si>
    <t xml:space="preserve">ohne Mwst. </t>
  </si>
  <si>
    <t>Zinsansatz Umlaufvermögen</t>
  </si>
  <si>
    <t>Erlös je Ferkel</t>
  </si>
  <si>
    <t>Ferkelerlöse je Sau</t>
  </si>
  <si>
    <t xml:space="preserve">Sonst. variable  Kosten </t>
  </si>
  <si>
    <t xml:space="preserve">Bruttoerlös je Aufzuchtferkel </t>
  </si>
  <si>
    <t xml:space="preserve">Kosten Babyferkel </t>
  </si>
  <si>
    <t>Ergebnis bei:</t>
  </si>
  <si>
    <r>
      <t xml:space="preserve">          </t>
    </r>
    <r>
      <rPr>
        <sz val="48"/>
        <color indexed="10"/>
        <rFont val="Arial"/>
        <family val="2"/>
      </rPr>
      <t xml:space="preserve">     </t>
    </r>
    <r>
      <rPr>
        <b/>
        <sz val="40"/>
        <color indexed="10"/>
        <rFont val="Arial"/>
        <family val="2"/>
      </rPr>
      <t>VOKO-SAU</t>
    </r>
    <r>
      <rPr>
        <sz val="48"/>
        <color indexed="10"/>
        <rFont val="Arial"/>
        <family val="2"/>
      </rPr>
      <t xml:space="preserve">    </t>
    </r>
    <r>
      <rPr>
        <sz val="20"/>
        <color indexed="10"/>
        <rFont val="Arial"/>
        <family val="2"/>
      </rPr>
      <t>(Vollkosten Schweinehaltung)</t>
    </r>
  </si>
  <si>
    <t xml:space="preserve">Es besteht die Möglichkeit, die Verfahren jeweils </t>
  </si>
  <si>
    <t xml:space="preserve"> - mit oder ohne Investitionsförderung</t>
  </si>
  <si>
    <t>zu berechnen.</t>
  </si>
  <si>
    <t xml:space="preserve">werden: </t>
  </si>
  <si>
    <t>Mit VOKO-SAU kann die Wirtschaftlichkeit der 4 wichtigsten Produktionsverfahren in der Schweinehaltung kalkuliert werden.</t>
  </si>
  <si>
    <t xml:space="preserve">Auf einem Arbeitsblatt sind jeweils die Verfahren a) und b)  bzw. c) und d) zusammengefasst. Bei den Verfahren b) bis d) wird jeweils der im Verfahren a) unterstellte Ferkelpreis übernommen. Damit kann der interessante Vergleich durchgeführt werden, ob bei einer bestimmten Preissituation die Ferkelerzeuger oder die Mäster bzw. Aufzüchter im Vorteil sind. </t>
  </si>
  <si>
    <r>
      <t>Neu</t>
    </r>
    <r>
      <rPr>
        <sz val="14"/>
        <color indexed="10"/>
        <rFont val="Arial"/>
        <family val="2"/>
      </rPr>
      <t>: Über diesem ersten Eingabeblock besteht die Wahlmöglichkeit, die Kalkulation bzgl. der Gebäudekosten mit oder ohne Investitionsförderung durchzuführen sowie die gewünschte Regelung bzgl. der Umsatzsteuer zu wählen.</t>
    </r>
  </si>
  <si>
    <t>Düngerwert je cbm Gülle (o. Mwst.)</t>
  </si>
  <si>
    <t xml:space="preserve">Preis je Ferkel </t>
  </si>
  <si>
    <t>Zinsansatz Vieh- und Umlaufvermögen</t>
  </si>
  <si>
    <t>Gebäudekosten / Pl.</t>
  </si>
  <si>
    <t>Zinssatz für gebundenes Gebäudekapital ( i )</t>
  </si>
  <si>
    <r>
      <t>Erzeugungskosten je Babyferkel</t>
    </r>
    <r>
      <rPr>
        <sz val="18"/>
        <color indexed="8"/>
        <rFont val="Arial"/>
        <family val="2"/>
      </rPr>
      <t xml:space="preserve"> </t>
    </r>
    <r>
      <rPr>
        <sz val="16"/>
        <color indexed="8"/>
        <rFont val="Arial"/>
        <family val="2"/>
      </rPr>
      <t xml:space="preserve">(abz. Nebenleist.) </t>
    </r>
  </si>
  <si>
    <t>Zinsansatz Vieh- und Umlaufverm.</t>
  </si>
  <si>
    <t>Arbeitsbedarf  / Sau</t>
  </si>
  <si>
    <t>Zinsansatz Vieh- u. Umlaufvermögen</t>
  </si>
  <si>
    <t>Ferkelgewicht (Eingabe in Zelle D 16)</t>
  </si>
  <si>
    <t>Basispreis Babyferkel (o. Mwst.)</t>
  </si>
  <si>
    <t xml:space="preserve"> - mit Pauschalierung der Umsatzsteuer oder Regelbesteuerung</t>
  </si>
  <si>
    <r>
      <t xml:space="preserve">Erzeugungskosten je Tier bei </t>
    </r>
    <r>
      <rPr>
        <b/>
        <sz val="14"/>
        <color indexed="10"/>
        <rFont val="Arial"/>
        <family val="2"/>
      </rPr>
      <t>unterstellter</t>
    </r>
    <r>
      <rPr>
        <b/>
        <sz val="14"/>
        <color indexed="8"/>
        <rFont val="Arial"/>
        <family val="2"/>
      </rPr>
      <t xml:space="preserve"> Ferkelnotierung</t>
    </r>
    <r>
      <rPr>
        <b/>
        <sz val="11"/>
        <color indexed="8"/>
        <rFont val="Arial"/>
        <family val="2"/>
      </rPr>
      <t xml:space="preserve"> </t>
    </r>
    <r>
      <rPr>
        <b/>
        <sz val="14"/>
        <color indexed="8"/>
        <rFont val="Arial"/>
        <family val="2"/>
      </rPr>
      <t>von</t>
    </r>
  </si>
  <si>
    <t>Ferkelbasispreis 25 kg, 200 er Gruppe (o. Mwst)</t>
  </si>
  <si>
    <t>Eingabe in Zeile 6</t>
  </si>
  <si>
    <t>Eingabe in Zeile 7</t>
  </si>
  <si>
    <t xml:space="preserve">                            Berücksichtigung einer Investitionsförderung ?   </t>
  </si>
  <si>
    <t xml:space="preserve">              Bezügl. der Mwst. soll gerechnet werden nach</t>
  </si>
  <si>
    <t>Berücksichtigung einer Investitionsförderung ?</t>
  </si>
  <si>
    <t>Futterverwertung Ferkel (ab 7 kg LG)                              1:</t>
  </si>
  <si>
    <t xml:space="preserve"> - Deckungsbeitrag je Tier und Platz: von ihm sind noch die Festkosten des Stalles, die Gemeinkosten und die Arbeitskosten abzudecken</t>
  </si>
  <si>
    <t>Förderung der Schweinehaltung nach dem Agrarinvestitionsförderprogramm (Richtlinien 2015)
von Baden-Württemberg</t>
  </si>
  <si>
    <t>Sonstiges Material</t>
  </si>
  <si>
    <t>Zuschläge Ferkel ( z.B. Menge, Genetik, Impfungen)</t>
  </si>
  <si>
    <t>Erstattung Impfungen</t>
  </si>
  <si>
    <t>Dschn.erzielb. Zuschl. je F. auf ob. Not. inkl. Impfungen</t>
  </si>
  <si>
    <t xml:space="preserve"> - Kapitalverzinsung (DB abzgl. Lohnansatz, Gemeinkosten, Abschreibungen und Unterhaltungskosten, dividiert durch das investierte Kapital)</t>
  </si>
  <si>
    <t>Eine Investitionsförderung setzt eine besonders tiergerechte Bauweise voraus und führt damit zu einer Erhöhung der Baukosten je Platz. Im Registerblatt " 0 Anforderungen AFP" sind die Anforderungen für die Basisförderung (20% Zuschuss) bzw. Premiumförderung (40% Zuschuss) gegenübergestellt. Bei beiden Förderungen gelten die Maximalbestände von 3.000 Mastplätzen bzw. 560 Zuchtsauen sowie die Obergrenze von 750.000 € förderfähiges Investitionsvolumen.</t>
  </si>
  <si>
    <t xml:space="preserve"> - Deckungsbeitrag in % der Fest-,  Gemein- und Arbeitskosten (Ziel: mindestens 100%)</t>
  </si>
  <si>
    <t xml:space="preserve">  = DB abzgl. Festkosten und Lohnansatz ; entspricht dem Unternehmergewinn, d.h. der Entlohnung des unternehmerischen Risikos</t>
  </si>
  <si>
    <t xml:space="preserve"> - Kalkulatorisches Betriebszweigergebnis:</t>
  </si>
  <si>
    <t>3. Handhabung des Programms</t>
  </si>
  <si>
    <r>
      <t xml:space="preserve">Für alle 4 Produktionsverfahren ist zunächst der </t>
    </r>
    <r>
      <rPr>
        <b/>
        <sz val="14"/>
        <rFont val="Arial"/>
        <family val="2"/>
      </rPr>
      <t>Ferkelpreis</t>
    </r>
    <r>
      <rPr>
        <sz val="14"/>
        <rFont val="Arial"/>
        <family val="2"/>
      </rPr>
      <t xml:space="preserve"> im Reg.blatt 1 in der Zelle D 14 einzugeben. Die restlichen individuellen Eingaben sind beim jeweiligen Produktionsverfahren in den gelben Eingabefeldern zu machen.</t>
    </r>
  </si>
  <si>
    <t>Dies betrifft die produktionstechnischen Annahmen, aber auch die unterstellten Erzeuger- und Betriebsmittelpreise. Überschreiben Sie einfach die vorgeschlagenen Werte.</t>
  </si>
  <si>
    <t>In den Beispielsberechnungen wird jeweils ein Düngerwert als Leistung der Verfahren berücksichtigt. Dieser Ansatz setzt eine ausgeglichene Nährstoffbilanz des Betriebes voraus. Gerade bei Investitionen in die Schweinemast können aber im "Ziel" oft nicht alle anfallenden Nährstoffe innerbetrieblich verwertet werden. In diesen Fällen muss der Wertansatz für die Gülle reduziert bzw. auf Null gesetzt werden.</t>
  </si>
  <si>
    <t>Auf den Arbeitsblättern 3 bis 6 werden jeweils 2 der kalkulierten Verfahren gegenübergestellt. Eine Vergleichbarkeit ist aber nur gegeben, wenn die Preis- und sonstigen Annahmen aufeinander abgestimmt sind.</t>
  </si>
  <si>
    <t>€/Tier</t>
  </si>
  <si>
    <t>FAKT-Prämie (9 bzw. 14 €) und Prämie Initiative Tierwohl</t>
  </si>
  <si>
    <t>var. Masch.kost. inkl. Gülleausbr.</t>
  </si>
  <si>
    <t>Zuschuss bei Investitionsförderung (20% / 40%)</t>
  </si>
  <si>
    <t>Ferkelaufzuchtfutter (o. Mwst.)</t>
  </si>
  <si>
    <r>
      <t>Neubaukosten je Pl. netto</t>
    </r>
    <r>
      <rPr>
        <sz val="8"/>
        <rFont val="Arial"/>
        <family val="2"/>
      </rPr>
      <t xml:space="preserve"> (unter Berücks. der Anford. d. Förderung)</t>
    </r>
  </si>
  <si>
    <r>
      <t xml:space="preserve">maßgebl. Neubaukosten je Pl. </t>
    </r>
    <r>
      <rPr>
        <sz val="9"/>
        <rFont val="Arial"/>
        <family val="2"/>
      </rPr>
      <t>(Mwst. u. Inv.förd. berücksichtigt)</t>
    </r>
  </si>
  <si>
    <t>Pl.</t>
  </si>
  <si>
    <t>benötigte Aufzuchtplätze je Sau</t>
  </si>
  <si>
    <r>
      <t>Neubaukosten/Sauenplatz netto</t>
    </r>
    <r>
      <rPr>
        <sz val="8"/>
        <rFont val="Arial"/>
        <family val="2"/>
      </rPr>
      <t xml:space="preserve"> (unter Berücks. der Anford. d. Förderung)</t>
    </r>
  </si>
  <si>
    <r>
      <t xml:space="preserve">maßgebl. Neubaukosten/Sauenpl. </t>
    </r>
    <r>
      <rPr>
        <sz val="9"/>
        <rFont val="Arial"/>
        <family val="2"/>
      </rPr>
      <t>(Mwst. u. Inv.förd. berücksichtigt)</t>
    </r>
  </si>
  <si>
    <r>
      <t>Neubaukosten/Aufzuchtplatz netto</t>
    </r>
    <r>
      <rPr>
        <sz val="8"/>
        <rFont val="Arial"/>
        <family val="2"/>
      </rPr>
      <t xml:space="preserve"> (unter Berücks. der Anford. d. Förderung)</t>
    </r>
  </si>
  <si>
    <r>
      <t xml:space="preserve">maßgebl. Neubaukosten/Aufz.pl. </t>
    </r>
    <r>
      <rPr>
        <sz val="9"/>
        <rFont val="Arial"/>
        <family val="2"/>
      </rPr>
      <t>(Mwst. u. Inv.förd. berücksichtigt)</t>
    </r>
  </si>
  <si>
    <t>Umtriebe je Aufzuchtplatz</t>
  </si>
  <si>
    <t>Gemeinkosten je Sau</t>
  </si>
  <si>
    <t>Nutzungsdauer Stall u. Einrichtung</t>
  </si>
  <si>
    <t>Unterhaltungskosten Stall</t>
  </si>
  <si>
    <t>Nutzungsdauer Stall und Einrichtung</t>
  </si>
  <si>
    <r>
      <rPr>
        <sz val="14"/>
        <rFont val="Arial"/>
        <family val="2"/>
      </rPr>
      <t>Neubaukosten/ Pl. netto</t>
    </r>
    <r>
      <rPr>
        <sz val="11"/>
        <rFont val="Arial"/>
        <family val="2"/>
      </rPr>
      <t xml:space="preserve"> (unter Berücks. der Anford. d. Förderung)</t>
    </r>
  </si>
  <si>
    <r>
      <t>maßgebl. Neubaukosten/Pl.</t>
    </r>
    <r>
      <rPr>
        <sz val="12"/>
        <rFont val="Arial"/>
        <family val="2"/>
      </rPr>
      <t xml:space="preserve"> (Mwst. u. Inv.förd. berücksichtigt)</t>
    </r>
  </si>
  <si>
    <t>Gewichtszuschlag Aufz.ferkel ( über Basisgewicht )</t>
  </si>
  <si>
    <r>
      <t xml:space="preserve">maßgebl. Neubaukosten/ Pl. </t>
    </r>
    <r>
      <rPr>
        <sz val="12"/>
        <rFont val="Arial"/>
        <family val="2"/>
      </rPr>
      <t>(Mwst. u. Inv.förd. berücksichtigt)</t>
    </r>
  </si>
  <si>
    <r>
      <t xml:space="preserve">Neubaukosten / Pl. netto </t>
    </r>
    <r>
      <rPr>
        <sz val="12"/>
        <rFont val="Arial"/>
        <family val="2"/>
      </rPr>
      <t>(unter Berücks. der Anford. d. Förderung)</t>
    </r>
  </si>
  <si>
    <t>Kostendeckender Basispreis (25 kg Not.) für Aufzuchtferkel (o. Mwst.)</t>
  </si>
  <si>
    <t xml:space="preserve">Maßgebliche Neubaukosten je Platz </t>
  </si>
  <si>
    <t xml:space="preserve">Maßgebliche Neubaukosten je produktive Sau </t>
  </si>
  <si>
    <t>Förderung der Schweinemast nach dem FAKT-Programm 2015:</t>
  </si>
  <si>
    <t>Festkosten Stall bei Neubau</t>
  </si>
  <si>
    <t xml:space="preserve">           Bezügl. der Mwst. soll gerechnet werden nach</t>
  </si>
  <si>
    <t xml:space="preserve"> - Arbeitseinkommen je AKh: entspricht dem erzielten Stundenlohn (DB abzgl. Fest- und Gemeinkosten, div. durch die benötigten AKh) </t>
  </si>
  <si>
    <t>Erlös / Tier nach Abzug der Vermarktungskosten bzw. Zuschlägen (Mezgerabsatz)</t>
  </si>
  <si>
    <r>
      <t>Vermarktungskosten (mit negativem Vorzeichen) bzw. Zuschläge</t>
    </r>
    <r>
      <rPr>
        <sz val="12"/>
        <color indexed="10"/>
        <rFont val="Arial"/>
        <family val="2"/>
      </rPr>
      <t xml:space="preserve"> </t>
    </r>
  </si>
  <si>
    <t>Deckungsbeiträge in Abhängigkeit vom Ferkelpreis und Leistungsniveau</t>
  </si>
  <si>
    <t>Ferkelpreis (25 kg)</t>
  </si>
  <si>
    <t>Zahl der aufgezogenen Ferkel</t>
  </si>
  <si>
    <t>Variable Kosten</t>
  </si>
  <si>
    <t>Diff. var. Ko. je Ferkel</t>
  </si>
  <si>
    <t>Leistungen insg.</t>
  </si>
  <si>
    <t>Ferkelerlös brutto</t>
  </si>
  <si>
    <t xml:space="preserve"> - zur Deckung der variablen Kosten (kurzfr. Prod.schwelle)</t>
  </si>
  <si>
    <t xml:space="preserve"> - zur Deckung der Vollkosten (langfr. Prod.schwelle) ohne Prämien</t>
  </si>
  <si>
    <t xml:space="preserve"> - zur Deckung der Vollkosten (langfr. Prod.schwelle) mit Prämien</t>
  </si>
  <si>
    <t>Mastfutter (Fertigfutter abzgl. 3 ,-€,  o. Mwst.)</t>
  </si>
  <si>
    <t>Anfang Oktober 2016</t>
  </si>
  <si>
    <r>
      <t>Bruttoerlös</t>
    </r>
    <r>
      <rPr>
        <sz val="10"/>
        <color indexed="8"/>
        <rFont val="Arial"/>
        <family val="2"/>
      </rPr>
      <t xml:space="preserve"> (einschl. ev. Prämien)</t>
    </r>
  </si>
  <si>
    <t>den 04.10.16</t>
  </si>
  <si>
    <t>Vers. 3.5
(10/2016 )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</si>
</sst>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000"/>
    <numFmt numFmtId="169" formatCode="0.000"/>
    <numFmt numFmtId="170" formatCode="0.0"/>
    <numFmt numFmtId="171" formatCode="#,##0.0"/>
    <numFmt numFmtId="172" formatCode="0.0%"/>
    <numFmt numFmtId="173" formatCode="#,##0.00\ [$€-1]"/>
    <numFmt numFmtId="174" formatCode="#,##0\ [$€-1]"/>
    <numFmt numFmtId="175" formatCode="dd/mm/yy"/>
    <numFmt numFmtId="176" formatCode="#,##0.00\ &quot;€&quot;"/>
    <numFmt numFmtId="177" formatCode="#,##0.00_ ;[Red]\-#,##0.00\ "/>
    <numFmt numFmtId="178" formatCode="#,##0_ ;[Red]\-#,##0\ "/>
    <numFmt numFmtId="179" formatCode="#,##0.0&quot; %&quot;"/>
    <numFmt numFmtId="180" formatCode="#,##0&quot; € je Platz  x&quot;"/>
    <numFmt numFmtId="181" formatCode="#,##0.00&quot; €/AKh&quot;"/>
    <numFmt numFmtId="182" formatCode="#,##0.0&quot; AKh je Platz  x &quot;"/>
    <numFmt numFmtId="183" formatCode="#,##0.00&quot; €/kg SG netto&quot;"/>
    <numFmt numFmtId="184" formatCode="#,##0.0&quot; kg SG x&quot;"/>
    <numFmt numFmtId="185" formatCode="#,##0\ \€;[Red]\-#,##0\ \€"/>
    <numFmt numFmtId="186" formatCode="#,##0\ \€;[Red]#,##0\ \€"/>
    <numFmt numFmtId="187" formatCode="#,##0\ \€"/>
    <numFmt numFmtId="188" formatCode="#,##0.00\ \€"/>
    <numFmt numFmtId="189" formatCode="#,##0.00\ \€;[Red]\-#,##0.00\ \€"/>
    <numFmt numFmtId="190" formatCode="#,##0.000"/>
    <numFmt numFmtId="191" formatCode="[$-407]dddd\,\ d\.\ mmmm\ yyyy"/>
    <numFmt numFmtId="192" formatCode="#,##0\ &quot;€&quot;"/>
    <numFmt numFmtId="193" formatCode="#,##0.000_ ;[Red]\-#,##0.000\ "/>
    <numFmt numFmtId="194" formatCode="#,##0.0_ ;[Red]\-#,##0.0\ "/>
    <numFmt numFmtId="195" formatCode="#,##0\ \ \ "/>
    <numFmt numFmtId="196" formatCode="0.00000"/>
    <numFmt numFmtId="197" formatCode="0.000000"/>
    <numFmt numFmtId="198" formatCode="&quot;€&quot;#,##0_);[Red]\(&quot;€&quot;#,##0\)"/>
    <numFmt numFmtId="199" formatCode="\€#,##0_);[Red]\(\€#,##0\)"/>
  </numFmts>
  <fonts count="179">
    <font>
      <sz val="10"/>
      <name val="Arial"/>
      <family val="0"/>
    </font>
    <font>
      <b/>
      <sz val="10"/>
      <name val="Arial"/>
      <family val="0"/>
    </font>
    <font>
      <i/>
      <sz val="10"/>
      <name val="Arial"/>
      <family val="0"/>
    </font>
    <font>
      <b/>
      <i/>
      <sz val="10"/>
      <name val="Arial"/>
      <family val="0"/>
    </font>
    <font>
      <sz val="12"/>
      <name val="Arial"/>
      <family val="2"/>
    </font>
    <font>
      <sz val="16"/>
      <name val="Arial"/>
      <family val="2"/>
    </font>
    <font>
      <b/>
      <sz val="16"/>
      <name val="Arial"/>
      <family val="2"/>
    </font>
    <font>
      <sz val="14"/>
      <name val="Arial"/>
      <family val="2"/>
    </font>
    <font>
      <b/>
      <sz val="14"/>
      <name val="Arial"/>
      <family val="2"/>
    </font>
    <font>
      <sz val="13"/>
      <name val="Arial"/>
      <family val="2"/>
    </font>
    <font>
      <sz val="14"/>
      <color indexed="8"/>
      <name val="Arial"/>
      <family val="2"/>
    </font>
    <font>
      <b/>
      <sz val="14"/>
      <color indexed="10"/>
      <name val="Arial"/>
      <family val="2"/>
    </font>
    <font>
      <b/>
      <sz val="18"/>
      <color indexed="9"/>
      <name val="Arial"/>
      <family val="2"/>
    </font>
    <font>
      <b/>
      <sz val="14"/>
      <color indexed="16"/>
      <name val="Arial"/>
      <family val="2"/>
    </font>
    <font>
      <sz val="18"/>
      <color indexed="9"/>
      <name val="Arial"/>
      <family val="2"/>
    </font>
    <font>
      <b/>
      <sz val="16"/>
      <color indexed="10"/>
      <name val="Arial"/>
      <family val="2"/>
    </font>
    <font>
      <b/>
      <sz val="18"/>
      <color indexed="10"/>
      <name val="Arial"/>
      <family val="2"/>
    </font>
    <font>
      <sz val="18"/>
      <name val="Arial"/>
      <family val="2"/>
    </font>
    <font>
      <sz val="24"/>
      <name val="Arial"/>
      <family val="2"/>
    </font>
    <font>
      <sz val="20"/>
      <name val="Arial"/>
      <family val="2"/>
    </font>
    <font>
      <sz val="22"/>
      <name val="Arial"/>
      <family val="2"/>
    </font>
    <font>
      <sz val="14"/>
      <color indexed="10"/>
      <name val="Arial"/>
      <family val="2"/>
    </font>
    <font>
      <b/>
      <sz val="10"/>
      <color indexed="10"/>
      <name val="Arial"/>
      <family val="2"/>
    </font>
    <font>
      <sz val="16"/>
      <color indexed="8"/>
      <name val="Arial"/>
      <family val="2"/>
    </font>
    <font>
      <b/>
      <sz val="16"/>
      <color indexed="8"/>
      <name val="Arial"/>
      <family val="2"/>
    </font>
    <font>
      <b/>
      <sz val="18"/>
      <color indexed="8"/>
      <name val="Arial"/>
      <family val="2"/>
    </font>
    <font>
      <sz val="18"/>
      <color indexed="8"/>
      <name val="Arial"/>
      <family val="2"/>
    </font>
    <font>
      <sz val="10"/>
      <color indexed="8"/>
      <name val="Arial"/>
      <family val="2"/>
    </font>
    <font>
      <b/>
      <sz val="20"/>
      <color indexed="8"/>
      <name val="Arial"/>
      <family val="2"/>
    </font>
    <font>
      <b/>
      <sz val="16"/>
      <color indexed="16"/>
      <name val="Arial"/>
      <family val="2"/>
    </font>
    <font>
      <sz val="12"/>
      <color indexed="8"/>
      <name val="Arial"/>
      <family val="2"/>
    </font>
    <font>
      <b/>
      <sz val="14"/>
      <color indexed="8"/>
      <name val="Arial"/>
      <family val="2"/>
    </font>
    <font>
      <sz val="20"/>
      <color indexed="8"/>
      <name val="Arial"/>
      <family val="2"/>
    </font>
    <font>
      <sz val="11"/>
      <color indexed="8"/>
      <name val="Arial"/>
      <family val="2"/>
    </font>
    <font>
      <b/>
      <sz val="26"/>
      <name val="Arial"/>
      <family val="2"/>
    </font>
    <font>
      <sz val="28"/>
      <color indexed="10"/>
      <name val="Arial"/>
      <family val="2"/>
    </font>
    <font>
      <b/>
      <sz val="26"/>
      <color indexed="8"/>
      <name val="Arial"/>
      <family val="2"/>
    </font>
    <font>
      <sz val="22"/>
      <color indexed="17"/>
      <name val="Arial"/>
      <family val="2"/>
    </font>
    <font>
      <sz val="22"/>
      <color indexed="12"/>
      <name val="Arial"/>
      <family val="2"/>
    </font>
    <font>
      <b/>
      <sz val="20"/>
      <color indexed="17"/>
      <name val="Arial"/>
      <family val="2"/>
    </font>
    <font>
      <b/>
      <sz val="20"/>
      <color indexed="12"/>
      <name val="Arial"/>
      <family val="2"/>
    </font>
    <font>
      <b/>
      <sz val="20"/>
      <name val="Arial"/>
      <family val="2"/>
    </font>
    <font>
      <b/>
      <sz val="12"/>
      <color indexed="12"/>
      <name val="Arial"/>
      <family val="2"/>
    </font>
    <font>
      <sz val="48"/>
      <color indexed="10"/>
      <name val="Arial"/>
      <family val="2"/>
    </font>
    <font>
      <b/>
      <sz val="40"/>
      <color indexed="10"/>
      <name val="Arial"/>
      <family val="2"/>
    </font>
    <font>
      <sz val="20"/>
      <color indexed="10"/>
      <name val="Arial"/>
      <family val="2"/>
    </font>
    <font>
      <sz val="16"/>
      <color indexed="10"/>
      <name val="Arial"/>
      <family val="2"/>
    </font>
    <font>
      <b/>
      <sz val="12"/>
      <color indexed="10"/>
      <name val="Arial"/>
      <family val="2"/>
    </font>
    <font>
      <b/>
      <sz val="13"/>
      <color indexed="8"/>
      <name val="Arial"/>
      <family val="2"/>
    </font>
    <font>
      <sz val="21"/>
      <name val="Arial"/>
      <family val="2"/>
    </font>
    <font>
      <u val="single"/>
      <sz val="7.5"/>
      <color indexed="12"/>
      <name val="Arial"/>
      <family val="2"/>
    </font>
    <font>
      <u val="single"/>
      <sz val="7.5"/>
      <color indexed="36"/>
      <name val="Arial"/>
      <family val="2"/>
    </font>
    <font>
      <b/>
      <sz val="12"/>
      <name val="Arial"/>
      <family val="2"/>
    </font>
    <font>
      <b/>
      <sz val="28"/>
      <name val="Arial"/>
      <family val="2"/>
    </font>
    <font>
      <b/>
      <sz val="10"/>
      <name val="Tahoma"/>
      <family val="2"/>
    </font>
    <font>
      <b/>
      <sz val="12"/>
      <color indexed="8"/>
      <name val="Arial"/>
      <family val="2"/>
    </font>
    <font>
      <sz val="11"/>
      <name val="Arial"/>
      <family val="2"/>
    </font>
    <font>
      <b/>
      <sz val="10"/>
      <color indexed="8"/>
      <name val="Arial"/>
      <family val="2"/>
    </font>
    <font>
      <b/>
      <sz val="12"/>
      <color indexed="63"/>
      <name val="Arial"/>
      <family val="2"/>
    </font>
    <font>
      <sz val="22"/>
      <color indexed="10"/>
      <name val="Arial"/>
      <family val="2"/>
    </font>
    <font>
      <b/>
      <sz val="22"/>
      <color indexed="10"/>
      <name val="Arial"/>
      <family val="2"/>
    </font>
    <font>
      <sz val="12"/>
      <color indexed="10"/>
      <name val="Arial"/>
      <family val="2"/>
    </font>
    <font>
      <b/>
      <sz val="11"/>
      <color indexed="8"/>
      <name val="Arial"/>
      <family val="2"/>
    </font>
    <font>
      <b/>
      <sz val="20"/>
      <color indexed="10"/>
      <name val="Arial"/>
      <family val="2"/>
    </font>
    <font>
      <b/>
      <sz val="14"/>
      <color indexed="17"/>
      <name val="Arial"/>
      <family val="2"/>
    </font>
    <font>
      <b/>
      <sz val="14"/>
      <color indexed="12"/>
      <name val="Arial"/>
      <family val="2"/>
    </font>
    <font>
      <sz val="14"/>
      <color indexed="17"/>
      <name val="Arial"/>
      <family val="2"/>
    </font>
    <font>
      <sz val="14"/>
      <color indexed="12"/>
      <name val="Arial"/>
      <family val="2"/>
    </font>
    <font>
      <b/>
      <sz val="16"/>
      <color indexed="17"/>
      <name val="Arial"/>
      <family val="2"/>
    </font>
    <font>
      <sz val="16"/>
      <color indexed="12"/>
      <name val="Arial"/>
      <family val="2"/>
    </font>
    <font>
      <sz val="16"/>
      <color indexed="17"/>
      <name val="Arial"/>
      <family val="2"/>
    </font>
    <font>
      <b/>
      <sz val="16"/>
      <color indexed="12"/>
      <name val="Arial"/>
      <family val="2"/>
    </font>
    <font>
      <sz val="10"/>
      <color indexed="10"/>
      <name val="Arial"/>
      <family val="2"/>
    </font>
    <font>
      <b/>
      <sz val="11"/>
      <color indexed="10"/>
      <name val="Arial"/>
      <family val="2"/>
    </font>
    <font>
      <b/>
      <sz val="11"/>
      <name val="Arial"/>
      <family val="2"/>
    </font>
    <font>
      <sz val="8"/>
      <name val="Tahoma"/>
      <family val="2"/>
    </font>
    <font>
      <b/>
      <sz val="8"/>
      <name val="Tahoma"/>
      <family val="2"/>
    </font>
    <font>
      <b/>
      <sz val="11"/>
      <color indexed="12"/>
      <name val="Arial"/>
      <family val="2"/>
    </font>
    <font>
      <b/>
      <sz val="24"/>
      <color indexed="17"/>
      <name val="Arial"/>
      <family val="2"/>
    </font>
    <font>
      <b/>
      <sz val="24"/>
      <color indexed="12"/>
      <name val="Arial"/>
      <family val="2"/>
    </font>
    <font>
      <sz val="12"/>
      <name val="Tahoma"/>
      <family val="2"/>
    </font>
    <font>
      <b/>
      <sz val="36"/>
      <name val="Arial"/>
      <family val="2"/>
    </font>
    <font>
      <sz val="8"/>
      <name val="Arial"/>
      <family val="2"/>
    </font>
    <font>
      <sz val="18"/>
      <color indexed="10"/>
      <name val="Arial"/>
      <family val="2"/>
    </font>
    <font>
      <b/>
      <sz val="11"/>
      <name val="Tahoma"/>
      <family val="2"/>
    </font>
    <font>
      <sz val="11"/>
      <name val="Tahoma"/>
      <family val="2"/>
    </font>
    <font>
      <b/>
      <sz val="21"/>
      <name val="Arial"/>
      <family val="2"/>
    </font>
    <font>
      <b/>
      <sz val="22"/>
      <color indexed="17"/>
      <name val="Arial"/>
      <family val="2"/>
    </font>
    <font>
      <b/>
      <sz val="22"/>
      <color indexed="12"/>
      <name val="Arial"/>
      <family val="2"/>
    </font>
    <font>
      <b/>
      <sz val="22"/>
      <name val="Arial"/>
      <family val="2"/>
    </font>
    <font>
      <sz val="13"/>
      <color indexed="62"/>
      <name val="Arial"/>
      <family val="2"/>
    </font>
    <font>
      <sz val="10"/>
      <color indexed="62"/>
      <name val="Arial"/>
      <family val="2"/>
    </font>
    <font>
      <sz val="12"/>
      <color indexed="62"/>
      <name val="Arial"/>
      <family val="2"/>
    </font>
    <font>
      <b/>
      <sz val="9"/>
      <name val="Tahoma"/>
      <family val="2"/>
    </font>
    <font>
      <sz val="9"/>
      <name val="Tahoma"/>
      <family val="2"/>
    </font>
    <font>
      <sz val="9"/>
      <name val="Arial"/>
      <family val="2"/>
    </font>
    <font>
      <b/>
      <sz val="12"/>
      <name val="Tahoma"/>
      <family val="2"/>
    </font>
    <font>
      <sz val="7.8"/>
      <color indexed="8"/>
      <name val="Arial"/>
      <family val="2"/>
    </font>
    <font>
      <sz val="10.1"/>
      <color indexed="8"/>
      <name val="Arial"/>
      <family val="2"/>
    </font>
    <font>
      <sz val="16.25"/>
      <color indexed="8"/>
      <name val="Arial"/>
      <family val="2"/>
    </font>
    <font>
      <b/>
      <sz val="15.25"/>
      <color indexed="8"/>
      <name val="Arial"/>
      <family val="2"/>
    </font>
    <font>
      <sz val="9.2"/>
      <color indexed="8"/>
      <name val="Arial"/>
      <family val="2"/>
    </font>
    <font>
      <b/>
      <sz val="12"/>
      <color indexed="18"/>
      <name val="Arial"/>
      <family val="2"/>
    </font>
    <font>
      <sz val="9.65"/>
      <color indexed="8"/>
      <name val="Arial"/>
      <family val="2"/>
    </font>
    <font>
      <sz val="8.75"/>
      <color indexed="8"/>
      <name val="Arial"/>
      <family val="2"/>
    </font>
    <font>
      <sz val="11.5"/>
      <color indexed="8"/>
      <name val="Arial"/>
      <family val="2"/>
    </font>
    <font>
      <sz val="13.5"/>
      <color indexed="8"/>
      <name val="Arial"/>
      <family val="2"/>
    </font>
    <font>
      <sz val="16"/>
      <color indexed="8"/>
      <name val="Calibri"/>
      <family val="2"/>
    </font>
    <font>
      <sz val="14.7"/>
      <color indexed="8"/>
      <name val="Calibri"/>
      <family val="2"/>
    </font>
    <font>
      <sz val="11.4"/>
      <color indexed="8"/>
      <name val="Arial"/>
      <family val="2"/>
    </font>
    <font>
      <b/>
      <sz val="12.5"/>
      <color indexed="8"/>
      <name val="Arial"/>
      <family val="2"/>
    </font>
    <font>
      <b/>
      <sz val="17"/>
      <color indexed="8"/>
      <name val="Arial"/>
      <family val="2"/>
    </font>
    <font>
      <sz val="11"/>
      <color indexed="9"/>
      <name val="Arial"/>
      <family val="2"/>
    </font>
    <font>
      <b/>
      <sz val="11"/>
      <color indexed="63"/>
      <name val="Arial"/>
      <family val="2"/>
    </font>
    <font>
      <sz val="11"/>
      <color indexed="62"/>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0"/>
      <name val="Arial"/>
      <family val="2"/>
    </font>
    <font>
      <b/>
      <sz val="11"/>
      <color indexed="9"/>
      <name val="Arial"/>
      <family val="2"/>
    </font>
    <font>
      <sz val="10"/>
      <color indexed="60"/>
      <name val="Arial"/>
      <family val="2"/>
    </font>
    <font>
      <sz val="11"/>
      <color indexed="60"/>
      <name val="Arial"/>
      <family val="2"/>
    </font>
    <font>
      <sz val="14"/>
      <color indexed="60"/>
      <name val="Arial"/>
      <family val="2"/>
    </font>
    <font>
      <sz val="12"/>
      <color indexed="60"/>
      <name val="Arial"/>
      <family val="2"/>
    </font>
    <font>
      <sz val="12"/>
      <color indexed="56"/>
      <name val="Arial"/>
      <family val="2"/>
    </font>
    <font>
      <sz val="16"/>
      <color indexed="62"/>
      <name val="Arial"/>
      <family val="2"/>
    </font>
    <font>
      <sz val="14"/>
      <color indexed="62"/>
      <name val="Arial"/>
      <family val="2"/>
    </font>
    <font>
      <b/>
      <sz val="14"/>
      <color indexed="62"/>
      <name val="Arial"/>
      <family val="2"/>
    </font>
    <font>
      <b/>
      <sz val="18.5"/>
      <color indexed="8"/>
      <name val="Arial"/>
      <family val="2"/>
    </font>
    <font>
      <b/>
      <sz val="16.5"/>
      <color indexed="8"/>
      <name val="Arial"/>
      <family val="2"/>
    </font>
    <font>
      <b/>
      <sz val="22.5"/>
      <color indexed="8"/>
      <name val="Arial"/>
      <family val="2"/>
    </font>
    <font>
      <b/>
      <sz val="11.5"/>
      <color indexed="8"/>
      <name val="Arial"/>
      <family val="2"/>
    </font>
    <font>
      <b/>
      <sz val="13.5"/>
      <color indexed="8"/>
      <name val="Arial"/>
      <family val="2"/>
    </font>
    <font>
      <b/>
      <sz val="16"/>
      <color indexed="8"/>
      <name val="Calibri"/>
      <family val="2"/>
    </font>
    <font>
      <b/>
      <sz val="19.2"/>
      <color indexed="8"/>
      <name val="Calibri"/>
      <family val="2"/>
    </font>
    <font>
      <sz val="10.5"/>
      <color indexed="8"/>
      <name val="Calibri"/>
      <family val="2"/>
    </font>
    <font>
      <sz val="14"/>
      <color indexed="8"/>
      <name val="Calibri"/>
      <family val="2"/>
    </font>
    <font>
      <b/>
      <sz val="24.5"/>
      <color indexed="8"/>
      <name val="Arial"/>
      <family val="2"/>
    </font>
    <font>
      <b/>
      <sz val="23"/>
      <color indexed="8"/>
      <name val="Arial"/>
      <family val="2"/>
    </font>
    <font>
      <b/>
      <sz val="18.75"/>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0"/>
      <color theme="9" tint="-0.24997000396251678"/>
      <name val="Arial"/>
      <family val="2"/>
    </font>
    <font>
      <sz val="10"/>
      <color theme="9" tint="-0.4999699890613556"/>
      <name val="Arial"/>
      <family val="2"/>
    </font>
    <font>
      <sz val="11"/>
      <color theme="9" tint="-0.4999699890613556"/>
      <name val="Arial"/>
      <family val="2"/>
    </font>
    <font>
      <sz val="14"/>
      <color theme="9" tint="-0.4999699890613556"/>
      <name val="Arial"/>
      <family val="2"/>
    </font>
    <font>
      <sz val="12"/>
      <color theme="9" tint="-0.4999699890613556"/>
      <name val="Arial"/>
      <family val="2"/>
    </font>
    <font>
      <sz val="12"/>
      <color theme="3" tint="0.39998000860214233"/>
      <name val="Arial"/>
      <family val="2"/>
    </font>
    <font>
      <sz val="14"/>
      <color theme="9" tint="-0.24997000396251678"/>
      <name val="Arial"/>
      <family val="2"/>
    </font>
    <font>
      <sz val="16"/>
      <color theme="9" tint="-0.24997000396251678"/>
      <name val="Arial"/>
      <family val="2"/>
    </font>
    <font>
      <sz val="16"/>
      <color theme="4" tint="-0.24997000396251678"/>
      <name val="Arial"/>
      <family val="2"/>
    </font>
    <font>
      <sz val="14"/>
      <color theme="4" tint="-0.24997000396251678"/>
      <name val="Arial"/>
      <family val="2"/>
    </font>
    <font>
      <sz val="18"/>
      <color rgb="FFFF0000"/>
      <name val="Arial"/>
      <family val="2"/>
    </font>
    <font>
      <sz val="14"/>
      <color rgb="FFFF0000"/>
      <name val="Arial"/>
      <family val="2"/>
    </font>
    <font>
      <b/>
      <sz val="16"/>
      <color rgb="FFFF0000"/>
      <name val="Arial"/>
      <family val="2"/>
    </font>
    <font>
      <b/>
      <sz val="10"/>
      <color theme="1"/>
      <name val="Arial"/>
      <family val="2"/>
    </font>
    <font>
      <b/>
      <sz val="14"/>
      <color theme="4" tint="-0.24997000396251678"/>
      <name val="Arial"/>
      <family val="2"/>
    </font>
    <font>
      <sz val="20"/>
      <color rgb="FFFF000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color indexed="63"/>
      </top>
      <bottom style="medium"/>
    </border>
    <border>
      <left style="thin"/>
      <right style="thin"/>
      <top style="thin"/>
      <bottom style="thin"/>
    </border>
    <border>
      <left style="thin"/>
      <right style="thin"/>
      <top>
        <color indexed="63"/>
      </top>
      <bottom style="medium"/>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thin"/>
      <right style="thin"/>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style="medium"/>
      <right style="thin"/>
      <top>
        <color indexed="63"/>
      </top>
      <bottom style="medium"/>
    </border>
    <border>
      <left style="medium"/>
      <right style="thin"/>
      <top style="medium"/>
      <bottom style="thin"/>
    </border>
    <border>
      <left style="medium"/>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hair"/>
    </border>
    <border>
      <left style="medium"/>
      <right style="thin"/>
      <top style="medium"/>
      <bottom style="hair"/>
    </border>
    <border>
      <left style="medium"/>
      <right style="thin"/>
      <top>
        <color indexed="63"/>
      </top>
      <bottom>
        <color indexed="63"/>
      </bottom>
    </border>
    <border>
      <left style="medium"/>
      <right style="thin"/>
      <top>
        <color indexed="63"/>
      </top>
      <bottom style="thin"/>
    </border>
    <border>
      <left style="medium"/>
      <right style="medium"/>
      <top style="medium"/>
      <bottom style="mediu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hair"/>
    </border>
    <border>
      <left>
        <color indexed="63"/>
      </left>
      <right>
        <color indexed="63"/>
      </right>
      <top style="thin"/>
      <bottom>
        <color indexed="63"/>
      </bottom>
    </border>
    <border>
      <left>
        <color indexed="63"/>
      </left>
      <right>
        <color indexed="63"/>
      </right>
      <top>
        <color indexed="63"/>
      </top>
      <bottom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style="thin"/>
      <right>
        <color indexed="63"/>
      </right>
      <top style="medium"/>
      <bottom style="thin"/>
    </border>
    <border>
      <left>
        <color indexed="63"/>
      </left>
      <right style="medium"/>
      <top>
        <color indexed="63"/>
      </top>
      <bottom style="hair"/>
    </border>
    <border>
      <left>
        <color indexed="63"/>
      </left>
      <right style="thin"/>
      <top style="medium"/>
      <bottom style="medium"/>
    </border>
    <border>
      <left style="thin"/>
      <right style="thin"/>
      <top style="thin"/>
      <bottom style="medium"/>
    </border>
    <border>
      <left style="thin"/>
      <right style="medium"/>
      <top>
        <color indexed="63"/>
      </top>
      <bottom style="medium"/>
    </border>
    <border>
      <left style="medium"/>
      <right style="thin"/>
      <top style="thin"/>
      <bottom style="thin"/>
    </border>
    <border>
      <left style="thin"/>
      <right style="medium"/>
      <top style="medium"/>
      <bottom>
        <color indexed="63"/>
      </bottom>
    </border>
    <border>
      <left style="thin"/>
      <right style="thin"/>
      <top style="medium"/>
      <bottom style="medium"/>
    </border>
    <border>
      <left style="thin"/>
      <right style="thin"/>
      <top style="medium"/>
      <bottom style="hair"/>
    </border>
    <border>
      <left>
        <color indexed="63"/>
      </left>
      <right>
        <color indexed="63"/>
      </right>
      <top style="hair"/>
      <bottom style="thin"/>
    </border>
    <border>
      <left style="thin"/>
      <right style="thin"/>
      <top style="hair"/>
      <bottom style="thin"/>
    </border>
    <border>
      <left>
        <color indexed="63"/>
      </left>
      <right style="medium"/>
      <top style="hair"/>
      <bottom style="thin"/>
    </border>
    <border>
      <left>
        <color indexed="63"/>
      </left>
      <right style="medium"/>
      <top style="medium"/>
      <bottom style="hair"/>
    </border>
    <border>
      <left>
        <color indexed="63"/>
      </left>
      <right style="thin"/>
      <top style="hair"/>
      <bottom style="thin"/>
    </border>
    <border>
      <left style="medium"/>
      <right>
        <color indexed="63"/>
      </right>
      <top style="medium"/>
      <bottom style="hair"/>
    </border>
    <border>
      <left style="medium"/>
      <right>
        <color indexed="63"/>
      </right>
      <top style="hair"/>
      <bottom style="thin"/>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hair"/>
    </border>
    <border>
      <left>
        <color indexed="63"/>
      </left>
      <right>
        <color indexed="63"/>
      </right>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medium"/>
      <bottom style="hair"/>
    </border>
    <border>
      <left style="medium"/>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5" fillId="2" borderId="0" applyNumberFormat="0" applyBorder="0" applyAlignment="0" applyProtection="0"/>
    <xf numFmtId="0" fontId="145" fillId="3" borderId="0" applyNumberFormat="0" applyBorder="0" applyAlignment="0" applyProtection="0"/>
    <xf numFmtId="0" fontId="145" fillId="4" borderId="0" applyNumberFormat="0" applyBorder="0" applyAlignment="0" applyProtection="0"/>
    <xf numFmtId="0" fontId="145" fillId="5" borderId="0" applyNumberFormat="0" applyBorder="0" applyAlignment="0" applyProtection="0"/>
    <xf numFmtId="0" fontId="145" fillId="6"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45" fillId="10"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46" fillId="14" borderId="0" applyNumberFormat="0" applyBorder="0" applyAlignment="0" applyProtection="0"/>
    <xf numFmtId="0" fontId="146" fillId="15"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18" borderId="0" applyNumberFormat="0" applyBorder="0" applyAlignment="0" applyProtection="0"/>
    <xf numFmtId="0" fontId="146" fillId="19"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46" fillId="24" borderId="0" applyNumberFormat="0" applyBorder="0" applyAlignment="0" applyProtection="0"/>
    <xf numFmtId="0" fontId="146" fillId="25" borderId="0" applyNumberFormat="0" applyBorder="0" applyAlignment="0" applyProtection="0"/>
    <xf numFmtId="0" fontId="147" fillId="26" borderId="1" applyNumberFormat="0" applyAlignment="0" applyProtection="0"/>
    <xf numFmtId="0" fontId="148" fillId="26" borderId="2" applyNumberFormat="0" applyAlignment="0" applyProtection="0"/>
    <xf numFmtId="0" fontId="51" fillId="0" borderId="0" applyNumberFormat="0" applyFill="0" applyBorder="0" applyAlignment="0" applyProtection="0"/>
    <xf numFmtId="165" fontId="0" fillId="0" borderId="0" applyFont="0" applyFill="0" applyBorder="0" applyAlignment="0" applyProtection="0"/>
    <xf numFmtId="0" fontId="149" fillId="27" borderId="2" applyNumberFormat="0" applyAlignment="0" applyProtection="0"/>
    <xf numFmtId="0" fontId="150" fillId="0" borderId="3" applyNumberFormat="0" applyFill="0" applyAlignment="0" applyProtection="0"/>
    <xf numFmtId="0" fontId="151" fillId="0" borderId="0" applyNumberFormat="0" applyFill="0" applyBorder="0" applyAlignment="0" applyProtection="0"/>
    <xf numFmtId="0" fontId="152" fillId="28" borderId="0" applyNumberFormat="0" applyBorder="0" applyAlignment="0" applyProtection="0"/>
    <xf numFmtId="0" fontId="50" fillId="0" borderId="0" applyNumberFormat="0" applyFill="0" applyBorder="0" applyAlignment="0" applyProtection="0"/>
    <xf numFmtId="167" fontId="0" fillId="0" borderId="0" applyFont="0" applyFill="0" applyBorder="0" applyAlignment="0" applyProtection="0"/>
    <xf numFmtId="0" fontId="1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54" fillId="31" borderId="0" applyNumberFormat="0" applyBorder="0" applyAlignment="0" applyProtection="0"/>
    <xf numFmtId="0" fontId="155" fillId="0" borderId="0" applyNumberFormat="0" applyFill="0" applyBorder="0" applyAlignment="0" applyProtection="0"/>
    <xf numFmtId="0" fontId="156" fillId="0" borderId="5" applyNumberFormat="0" applyFill="0" applyAlignment="0" applyProtection="0"/>
    <xf numFmtId="0" fontId="157" fillId="0" borderId="6" applyNumberFormat="0" applyFill="0" applyAlignment="0" applyProtection="0"/>
    <xf numFmtId="0" fontId="158" fillId="0" borderId="7" applyNumberFormat="0" applyFill="0" applyAlignment="0" applyProtection="0"/>
    <xf numFmtId="0" fontId="158" fillId="0" borderId="0" applyNumberFormat="0" applyFill="0" applyBorder="0" applyAlignment="0" applyProtection="0"/>
    <xf numFmtId="0" fontId="15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160" fillId="0" borderId="0" applyNumberFormat="0" applyFill="0" applyBorder="0" applyAlignment="0" applyProtection="0"/>
    <xf numFmtId="0" fontId="161" fillId="32" borderId="9" applyNumberFormat="0" applyAlignment="0" applyProtection="0"/>
  </cellStyleXfs>
  <cellXfs count="142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7" fillId="0" borderId="0" xfId="0" applyFont="1" applyFill="1" applyBorder="1" applyAlignment="1">
      <alignment horizontal="center"/>
    </xf>
    <xf numFmtId="0" fontId="0" fillId="0" borderId="0" xfId="0" applyFill="1" applyBorder="1" applyAlignment="1">
      <alignment vertical="center"/>
    </xf>
    <xf numFmtId="0" fontId="4"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9" fillId="0" borderId="0" xfId="0" applyFont="1" applyBorder="1" applyAlignment="1">
      <alignment/>
    </xf>
    <xf numFmtId="169" fontId="7" fillId="0" borderId="0" xfId="0" applyNumberFormat="1" applyFont="1" applyFill="1" applyBorder="1" applyAlignment="1">
      <alignment horizontal="center"/>
    </xf>
    <xf numFmtId="0" fontId="4" fillId="0" borderId="0" xfId="0" applyFont="1" applyBorder="1" applyAlignment="1">
      <alignment/>
    </xf>
    <xf numFmtId="2" fontId="7" fillId="33" borderId="10" xfId="0" applyNumberFormat="1" applyFont="1" applyFill="1" applyBorder="1" applyAlignment="1" applyProtection="1">
      <alignment horizontal="center"/>
      <protection locked="0"/>
    </xf>
    <xf numFmtId="1" fontId="7" fillId="33" borderId="10" xfId="0" applyNumberFormat="1" applyFont="1" applyFill="1" applyBorder="1" applyAlignment="1" applyProtection="1">
      <alignment horizontal="center"/>
      <protection locked="0"/>
    </xf>
    <xf numFmtId="0" fontId="7" fillId="33" borderId="10" xfId="0" applyFont="1" applyFill="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vertical="center"/>
      <protection/>
    </xf>
    <xf numFmtId="0" fontId="4" fillId="0" borderId="0" xfId="0" applyFont="1" applyAlignment="1" applyProtection="1">
      <alignment vertical="center"/>
      <protection/>
    </xf>
    <xf numFmtId="0" fontId="0" fillId="0" borderId="0" xfId="0" applyBorder="1" applyAlignment="1" applyProtection="1">
      <alignment vertical="center"/>
      <protection/>
    </xf>
    <xf numFmtId="0" fontId="4" fillId="0" borderId="0" xfId="0" applyFont="1" applyAlignment="1" applyProtection="1">
      <alignment/>
      <protection/>
    </xf>
    <xf numFmtId="0" fontId="9" fillId="0" borderId="0" xfId="0" applyFont="1" applyBorder="1" applyAlignment="1" applyProtection="1">
      <alignment/>
      <protection/>
    </xf>
    <xf numFmtId="0" fontId="7" fillId="0" borderId="0" xfId="0" applyFont="1" applyFill="1" applyBorder="1" applyAlignment="1" applyProtection="1">
      <alignment horizontal="center"/>
      <protection/>
    </xf>
    <xf numFmtId="169" fontId="7" fillId="0" borderId="11" xfId="0" applyNumberFormat="1" applyFont="1" applyFill="1" applyBorder="1" applyAlignment="1" applyProtection="1">
      <alignment horizontal="center"/>
      <protection/>
    </xf>
    <xf numFmtId="0" fontId="0" fillId="0" borderId="0" xfId="0" applyAlignment="1" applyProtection="1">
      <alignment horizontal="center" vertical="center"/>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4" fillId="0" borderId="0" xfId="0" applyFont="1" applyAlignment="1" applyProtection="1">
      <alignment horizontal="center" vertical="center"/>
      <protection/>
    </xf>
    <xf numFmtId="0" fontId="7" fillId="0" borderId="14" xfId="0" applyFont="1" applyBorder="1" applyAlignment="1" applyProtection="1">
      <alignment/>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4" fillId="0" borderId="0" xfId="0" applyFont="1" applyFill="1" applyAlignment="1" applyProtection="1">
      <alignment vertical="center"/>
      <protection/>
    </xf>
    <xf numFmtId="0" fontId="0" fillId="0" borderId="0" xfId="0"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170" fontId="7" fillId="33" borderId="10" xfId="0" applyNumberFormat="1" applyFont="1" applyFill="1" applyBorder="1" applyAlignment="1" applyProtection="1">
      <alignment horizontal="center"/>
      <protection locked="0"/>
    </xf>
    <xf numFmtId="0" fontId="7" fillId="0" borderId="17" xfId="0" applyFont="1" applyBorder="1" applyAlignment="1" applyProtection="1">
      <alignment/>
      <protection/>
    </xf>
    <xf numFmtId="0" fontId="8" fillId="0" borderId="0" xfId="0" applyFont="1" applyBorder="1" applyAlignment="1" applyProtection="1">
      <alignment horizontal="center" vertical="center"/>
      <protection/>
    </xf>
    <xf numFmtId="1" fontId="8" fillId="0" borderId="0" xfId="0" applyNumberFormat="1" applyFont="1" applyBorder="1" applyAlignment="1" applyProtection="1">
      <alignment horizontal="center" vertical="center"/>
      <protection/>
    </xf>
    <xf numFmtId="1" fontId="8" fillId="0" borderId="0" xfId="0" applyNumberFormat="1" applyFont="1" applyBorder="1" applyAlignment="1" applyProtection="1">
      <alignment horizontal="centerContinuous" vertical="center"/>
      <protection/>
    </xf>
    <xf numFmtId="0" fontId="8" fillId="0" borderId="0" xfId="0" applyFont="1" applyBorder="1" applyAlignment="1" applyProtection="1">
      <alignment horizontal="centerContinuous" vertical="center"/>
      <protection/>
    </xf>
    <xf numFmtId="0" fontId="0" fillId="0" borderId="0" xfId="0" applyFill="1" applyBorder="1" applyAlignment="1" applyProtection="1">
      <alignment/>
      <protection/>
    </xf>
    <xf numFmtId="0" fontId="5" fillId="0" borderId="18" xfId="0" applyFont="1" applyFill="1" applyBorder="1" applyAlignment="1" applyProtection="1">
      <alignment horizontal="centerContinuous"/>
      <protection/>
    </xf>
    <xf numFmtId="0" fontId="5" fillId="0" borderId="12" xfId="0" applyFont="1" applyFill="1" applyBorder="1" applyAlignment="1" applyProtection="1">
      <alignment horizontal="centerContinuous"/>
      <protection/>
    </xf>
    <xf numFmtId="0" fontId="7" fillId="0" borderId="0" xfId="0" applyFont="1" applyFill="1" applyBorder="1" applyAlignment="1" applyProtection="1">
      <alignment/>
      <protection/>
    </xf>
    <xf numFmtId="0" fontId="9"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1" fontId="8" fillId="0" borderId="0" xfId="0" applyNumberFormat="1" applyFont="1" applyFill="1" applyBorder="1" applyAlignment="1" applyProtection="1">
      <alignment horizontal="center"/>
      <protection/>
    </xf>
    <xf numFmtId="170" fontId="8" fillId="0" borderId="19" xfId="0" applyNumberFormat="1" applyFont="1" applyFill="1" applyBorder="1" applyAlignment="1" applyProtection="1">
      <alignment horizontal="center"/>
      <protection/>
    </xf>
    <xf numFmtId="1" fontId="6" fillId="0" borderId="18" xfId="0" applyNumberFormat="1" applyFont="1" applyFill="1" applyBorder="1" applyAlignment="1" applyProtection="1">
      <alignment horizontal="centerContinuous"/>
      <protection/>
    </xf>
    <xf numFmtId="170" fontId="8" fillId="0" borderId="0" xfId="0" applyNumberFormat="1" applyFont="1" applyFill="1" applyBorder="1" applyAlignment="1" applyProtection="1">
      <alignment horizontal="center"/>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1" fontId="12" fillId="0" borderId="0" xfId="0" applyNumberFormat="1" applyFont="1" applyFill="1" applyBorder="1" applyAlignment="1" applyProtection="1">
      <alignment horizontal="center"/>
      <protection/>
    </xf>
    <xf numFmtId="1" fontId="12" fillId="0" borderId="0" xfId="0" applyNumberFormat="1" applyFont="1" applyFill="1" applyBorder="1" applyAlignment="1" applyProtection="1">
      <alignment horizontal="centerContinuous"/>
      <protection/>
    </xf>
    <xf numFmtId="0" fontId="14" fillId="0" borderId="0" xfId="0" applyFont="1" applyFill="1" applyBorder="1" applyAlignment="1" applyProtection="1">
      <alignment horizontal="centerContinuous"/>
      <protection/>
    </xf>
    <xf numFmtId="0" fontId="6" fillId="0" borderId="14" xfId="0" applyFont="1" applyFill="1" applyBorder="1" applyAlignment="1" applyProtection="1">
      <alignment horizontal="centerContinuous"/>
      <protection/>
    </xf>
    <xf numFmtId="0" fontId="7" fillId="0" borderId="0" xfId="0" applyFont="1" applyBorder="1" applyAlignment="1" applyProtection="1">
      <alignment/>
      <protection/>
    </xf>
    <xf numFmtId="0" fontId="7" fillId="0" borderId="20" xfId="0" applyFont="1" applyBorder="1" applyAlignment="1" applyProtection="1">
      <alignment/>
      <protection/>
    </xf>
    <xf numFmtId="0" fontId="7" fillId="0" borderId="20" xfId="0" applyFont="1" applyBorder="1" applyAlignment="1" applyProtection="1">
      <alignment/>
      <protection/>
    </xf>
    <xf numFmtId="0" fontId="8" fillId="33" borderId="10" xfId="0" applyFont="1" applyFill="1" applyBorder="1" applyAlignment="1" applyProtection="1">
      <alignment horizontal="center"/>
      <protection locked="0"/>
    </xf>
    <xf numFmtId="0" fontId="7" fillId="0" borderId="21" xfId="0" applyFont="1" applyBorder="1" applyAlignment="1" applyProtection="1">
      <alignment/>
      <protection/>
    </xf>
    <xf numFmtId="170" fontId="15" fillId="33" borderId="21" xfId="0" applyNumberFormat="1" applyFont="1" applyFill="1" applyBorder="1" applyAlignment="1" applyProtection="1">
      <alignment horizontal="center"/>
      <protection locked="0"/>
    </xf>
    <xf numFmtId="0" fontId="11" fillId="0" borderId="0" xfId="0" applyFont="1" applyAlignment="1" applyProtection="1">
      <alignment horizontal="right" vertical="center"/>
      <protection/>
    </xf>
    <xf numFmtId="0" fontId="11" fillId="0" borderId="0" xfId="0" applyFont="1" applyAlignment="1" applyProtection="1">
      <alignment horizontal="left" vertical="center"/>
      <protection/>
    </xf>
    <xf numFmtId="14" fontId="11" fillId="0" borderId="22" xfId="0" applyNumberFormat="1" applyFont="1" applyFill="1" applyBorder="1" applyAlignment="1" applyProtection="1">
      <alignment horizontal="center" vertical="center"/>
      <protection/>
    </xf>
    <xf numFmtId="0" fontId="7" fillId="33" borderId="10"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6" fillId="0" borderId="15" xfId="0" applyFont="1" applyBorder="1" applyAlignment="1" applyProtection="1">
      <alignment/>
      <protection/>
    </xf>
    <xf numFmtId="0" fontId="5" fillId="0" borderId="24" xfId="0" applyFont="1" applyBorder="1" applyAlignment="1" applyProtection="1">
      <alignment horizontal="center"/>
      <protection/>
    </xf>
    <xf numFmtId="0" fontId="7" fillId="0" borderId="18" xfId="0" applyFont="1" applyBorder="1" applyAlignment="1">
      <alignment/>
    </xf>
    <xf numFmtId="0" fontId="7" fillId="0" borderId="17" xfId="0" applyFont="1" applyBorder="1" applyAlignment="1" applyProtection="1">
      <alignment/>
      <protection/>
    </xf>
    <xf numFmtId="0" fontId="7" fillId="0" borderId="21" xfId="0" applyFont="1" applyBorder="1" applyAlignment="1" applyProtection="1">
      <alignment horizontal="center"/>
      <protection/>
    </xf>
    <xf numFmtId="0" fontId="7" fillId="0" borderId="17" xfId="0" applyFont="1" applyBorder="1" applyAlignment="1" applyProtection="1">
      <alignment horizontal="left"/>
      <protection/>
    </xf>
    <xf numFmtId="0" fontId="7" fillId="0" borderId="14" xfId="0" applyFont="1" applyBorder="1" applyAlignment="1" applyProtection="1">
      <alignment horizontal="left"/>
      <protection/>
    </xf>
    <xf numFmtId="0" fontId="7" fillId="0" borderId="16" xfId="0" applyFont="1" applyBorder="1" applyAlignment="1" applyProtection="1">
      <alignment/>
      <protection/>
    </xf>
    <xf numFmtId="2" fontId="7" fillId="33" borderId="10" xfId="0" applyNumberFormat="1" applyFont="1" applyFill="1" applyBorder="1" applyAlignment="1" applyProtection="1">
      <alignment horizontal="center"/>
      <protection locked="0"/>
    </xf>
    <xf numFmtId="1" fontId="7" fillId="33" borderId="10" xfId="0" applyNumberFormat="1" applyFont="1" applyFill="1" applyBorder="1" applyAlignment="1" applyProtection="1">
      <alignment horizontal="center"/>
      <protection locked="0"/>
    </xf>
    <xf numFmtId="169" fontId="7" fillId="0" borderId="22" xfId="0" applyNumberFormat="1" applyFont="1" applyFill="1" applyBorder="1" applyAlignment="1" applyProtection="1">
      <alignment horizontal="center"/>
      <protection/>
    </xf>
    <xf numFmtId="170" fontId="7" fillId="33" borderId="10" xfId="0" applyNumberFormat="1" applyFont="1" applyFill="1" applyBorder="1" applyAlignment="1" applyProtection="1">
      <alignment horizontal="center"/>
      <protection locked="0"/>
    </xf>
    <xf numFmtId="0" fontId="17" fillId="0" borderId="0" xfId="0" applyFont="1" applyAlignment="1">
      <alignment/>
    </xf>
    <xf numFmtId="0" fontId="18" fillId="0" borderId="0" xfId="0" applyFont="1" applyAlignment="1">
      <alignment horizontal="centerContinuous"/>
    </xf>
    <xf numFmtId="0" fontId="17" fillId="0" borderId="0" xfId="0" applyFont="1" applyAlignment="1">
      <alignment horizontal="centerContinuous"/>
    </xf>
    <xf numFmtId="0" fontId="5" fillId="0" borderId="17" xfId="0" applyFont="1" applyBorder="1" applyAlignment="1" applyProtection="1">
      <alignment/>
      <protection/>
    </xf>
    <xf numFmtId="1" fontId="8" fillId="33" borderId="10" xfId="0" applyNumberFormat="1" applyFont="1" applyFill="1" applyBorder="1" applyAlignment="1" applyProtection="1">
      <alignment horizontal="center"/>
      <protection locked="0"/>
    </xf>
    <xf numFmtId="2" fontId="7" fillId="33" borderId="25" xfId="0" applyNumberFormat="1" applyFont="1" applyFill="1" applyBorder="1" applyAlignment="1" applyProtection="1">
      <alignment horizontal="center"/>
      <protection locked="0"/>
    </xf>
    <xf numFmtId="0" fontId="7" fillId="0" borderId="19" xfId="0" applyFont="1" applyBorder="1" applyAlignment="1" applyProtection="1">
      <alignment/>
      <protection/>
    </xf>
    <xf numFmtId="0" fontId="0" fillId="0" borderId="0" xfId="0" applyAlignment="1" applyProtection="1">
      <alignment/>
      <protection/>
    </xf>
    <xf numFmtId="0" fontId="0" fillId="0" borderId="0" xfId="0" applyAlignment="1">
      <alignment/>
    </xf>
    <xf numFmtId="0" fontId="7" fillId="0" borderId="14" xfId="0" applyFont="1" applyBorder="1" applyAlignment="1" applyProtection="1">
      <alignment/>
      <protection/>
    </xf>
    <xf numFmtId="0" fontId="7" fillId="0" borderId="13" xfId="0" applyFont="1" applyBorder="1" applyAlignment="1" applyProtection="1">
      <alignment/>
      <protection/>
    </xf>
    <xf numFmtId="0" fontId="7" fillId="0" borderId="0" xfId="0" applyFont="1" applyBorder="1" applyAlignment="1" applyProtection="1">
      <alignment/>
      <protection/>
    </xf>
    <xf numFmtId="0" fontId="7" fillId="0" borderId="13" xfId="0" applyFont="1" applyBorder="1" applyAlignment="1">
      <alignment/>
    </xf>
    <xf numFmtId="0" fontId="4" fillId="0" borderId="0" xfId="0" applyFont="1" applyFill="1" applyBorder="1" applyAlignment="1" applyProtection="1">
      <alignment horizontal="center"/>
      <protection/>
    </xf>
    <xf numFmtId="0" fontId="4" fillId="0" borderId="0" xfId="0" applyFont="1" applyFill="1" applyBorder="1" applyAlignment="1">
      <alignment horizontal="center"/>
    </xf>
    <xf numFmtId="0" fontId="0" fillId="0" borderId="0" xfId="0" applyFill="1" applyBorder="1" applyAlignment="1">
      <alignment/>
    </xf>
    <xf numFmtId="0" fontId="7" fillId="0" borderId="15" xfId="0" applyFont="1" applyBorder="1" applyAlignment="1" applyProtection="1">
      <alignment/>
      <protection/>
    </xf>
    <xf numFmtId="0" fontId="7" fillId="0" borderId="26" xfId="0" applyFont="1" applyBorder="1" applyAlignment="1" applyProtection="1">
      <alignment/>
      <protection/>
    </xf>
    <xf numFmtId="0" fontId="7" fillId="0" borderId="27" xfId="0" applyFont="1" applyBorder="1" applyAlignment="1" applyProtection="1">
      <alignment/>
      <protection/>
    </xf>
    <xf numFmtId="0" fontId="7" fillId="0" borderId="16" xfId="0" applyFont="1" applyBorder="1" applyAlignment="1">
      <alignment/>
    </xf>
    <xf numFmtId="0" fontId="7" fillId="0" borderId="28" xfId="0" applyFont="1" applyBorder="1" applyAlignment="1" applyProtection="1">
      <alignment/>
      <protection/>
    </xf>
    <xf numFmtId="0" fontId="0" fillId="0" borderId="17" xfId="0" applyBorder="1" applyAlignment="1">
      <alignment/>
    </xf>
    <xf numFmtId="0" fontId="9" fillId="0" borderId="0" xfId="0" applyFont="1" applyBorder="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protection/>
    </xf>
    <xf numFmtId="0" fontId="0" fillId="0" borderId="18" xfId="0" applyBorder="1" applyAlignment="1" applyProtection="1">
      <alignment/>
      <protection/>
    </xf>
    <xf numFmtId="0" fontId="5" fillId="0" borderId="17" xfId="0" applyFont="1" applyBorder="1" applyAlignment="1" applyProtection="1">
      <alignment/>
      <protection/>
    </xf>
    <xf numFmtId="0" fontId="6" fillId="0" borderId="21" xfId="0" applyFont="1" applyBorder="1" applyAlignment="1" applyProtection="1">
      <alignment/>
      <protection/>
    </xf>
    <xf numFmtId="0" fontId="15" fillId="0" borderId="21" xfId="0" applyFont="1" applyBorder="1" applyAlignment="1" applyProtection="1">
      <alignment horizontal="center"/>
      <protection/>
    </xf>
    <xf numFmtId="0" fontId="8" fillId="0" borderId="0" xfId="0" applyFont="1" applyBorder="1" applyAlignment="1" applyProtection="1">
      <alignment/>
      <protection/>
    </xf>
    <xf numFmtId="0" fontId="6" fillId="0" borderId="15" xfId="0" applyFont="1" applyBorder="1" applyAlignment="1" applyProtection="1">
      <alignment/>
      <protection/>
    </xf>
    <xf numFmtId="0" fontId="6" fillId="0" borderId="24" xfId="0" applyFont="1" applyBorder="1" applyAlignment="1" applyProtection="1">
      <alignment horizontal="center"/>
      <protection/>
    </xf>
    <xf numFmtId="0" fontId="6" fillId="0" borderId="16" xfId="0" applyFont="1" applyBorder="1" applyAlignment="1" applyProtection="1">
      <alignment/>
      <protection/>
    </xf>
    <xf numFmtId="0" fontId="5" fillId="0" borderId="24" xfId="0" applyFont="1" applyBorder="1" applyAlignment="1" applyProtection="1">
      <alignment/>
      <protection/>
    </xf>
    <xf numFmtId="0" fontId="6" fillId="0" borderId="19" xfId="0" applyFont="1" applyBorder="1" applyAlignment="1" applyProtection="1">
      <alignment/>
      <protection/>
    </xf>
    <xf numFmtId="1" fontId="15" fillId="0" borderId="19" xfId="0" applyNumberFormat="1" applyFont="1" applyBorder="1" applyAlignment="1" applyProtection="1">
      <alignment horizontal="center"/>
      <protection/>
    </xf>
    <xf numFmtId="2" fontId="15" fillId="33" borderId="19" xfId="0" applyNumberFormat="1" applyFont="1" applyFill="1" applyBorder="1" applyAlignment="1" applyProtection="1">
      <alignment horizontal="center"/>
      <protection locked="0"/>
    </xf>
    <xf numFmtId="0" fontId="5" fillId="0" borderId="16" xfId="0" applyFont="1" applyBorder="1" applyAlignment="1" applyProtection="1">
      <alignment/>
      <protection/>
    </xf>
    <xf numFmtId="0" fontId="5" fillId="0" borderId="28" xfId="0" applyFont="1" applyBorder="1" applyAlignment="1" applyProtection="1">
      <alignment/>
      <protection/>
    </xf>
    <xf numFmtId="0" fontId="5" fillId="0" borderId="28" xfId="0" applyFont="1" applyBorder="1" applyAlignment="1" applyProtection="1">
      <alignment horizontal="center"/>
      <protection/>
    </xf>
    <xf numFmtId="0" fontId="6" fillId="0" borderId="24" xfId="0" applyFont="1" applyBorder="1" applyAlignment="1" applyProtection="1">
      <alignment horizontal="right"/>
      <protection/>
    </xf>
    <xf numFmtId="170" fontId="5" fillId="0" borderId="28" xfId="0" applyNumberFormat="1" applyFont="1" applyBorder="1" applyAlignment="1" applyProtection="1">
      <alignment horizontal="center"/>
      <protection/>
    </xf>
    <xf numFmtId="170" fontId="5" fillId="0" borderId="0" xfId="0" applyNumberFormat="1" applyFont="1" applyBorder="1" applyAlignment="1" applyProtection="1">
      <alignment horizontal="centerContinuous"/>
      <protection/>
    </xf>
    <xf numFmtId="170" fontId="5" fillId="0" borderId="13" xfId="0" applyNumberFormat="1" applyFont="1" applyFill="1" applyBorder="1" applyAlignment="1" applyProtection="1">
      <alignment horizontal="centerContinuous"/>
      <protection/>
    </xf>
    <xf numFmtId="1" fontId="5" fillId="0" borderId="13" xfId="0" applyNumberFormat="1" applyFont="1" applyBorder="1" applyAlignment="1" applyProtection="1">
      <alignment horizontal="centerContinuous"/>
      <protection/>
    </xf>
    <xf numFmtId="0" fontId="5" fillId="0" borderId="15" xfId="0" applyFont="1" applyBorder="1" applyAlignment="1" applyProtection="1">
      <alignment/>
      <protection/>
    </xf>
    <xf numFmtId="1" fontId="6" fillId="0" borderId="28" xfId="0" applyNumberFormat="1" applyFont="1" applyBorder="1" applyAlignment="1" applyProtection="1">
      <alignment horizontal="center"/>
      <protection/>
    </xf>
    <xf numFmtId="0" fontId="15" fillId="0" borderId="20" xfId="0" applyFont="1" applyFill="1" applyBorder="1" applyAlignment="1" applyProtection="1">
      <alignment horizontal="centerContinuous"/>
      <protection/>
    </xf>
    <xf numFmtId="0" fontId="27" fillId="0" borderId="0" xfId="0" applyFont="1" applyAlignment="1" applyProtection="1">
      <alignment/>
      <protection/>
    </xf>
    <xf numFmtId="0" fontId="5" fillId="0" borderId="18" xfId="0" applyFont="1" applyBorder="1" applyAlignment="1" applyProtection="1">
      <alignment horizontal="left"/>
      <protection/>
    </xf>
    <xf numFmtId="0" fontId="29" fillId="0" borderId="29" xfId="0" applyFont="1" applyBorder="1" applyAlignment="1" applyProtection="1">
      <alignment horizontal="centerContinuous" vertical="center"/>
      <protection/>
    </xf>
    <xf numFmtId="0" fontId="6" fillId="0" borderId="29" xfId="0" applyFont="1" applyBorder="1" applyAlignment="1" applyProtection="1">
      <alignment horizontal="centerContinuous" vertical="center"/>
      <protection/>
    </xf>
    <xf numFmtId="0" fontId="6" fillId="0" borderId="30" xfId="0" applyFont="1" applyBorder="1" applyAlignment="1" applyProtection="1">
      <alignment horizontal="centerContinuous"/>
      <protection/>
    </xf>
    <xf numFmtId="0" fontId="5" fillId="0" borderId="21" xfId="0" applyFont="1" applyBorder="1" applyAlignment="1" applyProtection="1">
      <alignment horizontal="center"/>
      <protection/>
    </xf>
    <xf numFmtId="0" fontId="5" fillId="0" borderId="16" xfId="0" applyFont="1" applyBorder="1" applyAlignment="1" applyProtection="1">
      <alignment/>
      <protection/>
    </xf>
    <xf numFmtId="0" fontId="5" fillId="0" borderId="28" xfId="0" applyFont="1" applyBorder="1" applyAlignment="1" applyProtection="1">
      <alignment/>
      <protection/>
    </xf>
    <xf numFmtId="170" fontId="5" fillId="0" borderId="28" xfId="0" applyNumberFormat="1" applyFont="1" applyFill="1" applyBorder="1" applyAlignment="1" applyProtection="1">
      <alignment horizontal="center"/>
      <protection/>
    </xf>
    <xf numFmtId="170" fontId="5" fillId="0" borderId="0" xfId="0" applyNumberFormat="1" applyFont="1" applyFill="1" applyBorder="1" applyAlignment="1" applyProtection="1">
      <alignment horizontal="centerContinuous"/>
      <protection/>
    </xf>
    <xf numFmtId="3" fontId="5" fillId="0" borderId="28" xfId="0" applyNumberFormat="1" applyFont="1" applyBorder="1" applyAlignment="1" applyProtection="1">
      <alignment horizontal="center"/>
      <protection/>
    </xf>
    <xf numFmtId="3" fontId="5" fillId="0" borderId="0" xfId="0" applyNumberFormat="1" applyFont="1" applyBorder="1" applyAlignment="1" applyProtection="1">
      <alignment horizontal="centerContinuous"/>
      <protection/>
    </xf>
    <xf numFmtId="3" fontId="5" fillId="0" borderId="13" xfId="0" applyNumberFormat="1" applyFont="1" applyBorder="1" applyAlignment="1" applyProtection="1">
      <alignment horizontal="centerContinuous" vertical="center"/>
      <protection/>
    </xf>
    <xf numFmtId="1" fontId="5" fillId="0" borderId="28" xfId="0" applyNumberFormat="1" applyFont="1" applyFill="1" applyBorder="1" applyAlignment="1" applyProtection="1">
      <alignment horizontal="center"/>
      <protection/>
    </xf>
    <xf numFmtId="1" fontId="5" fillId="0" borderId="28" xfId="0" applyNumberFormat="1" applyFont="1" applyBorder="1" applyAlignment="1" applyProtection="1">
      <alignment horizontal="center"/>
      <protection/>
    </xf>
    <xf numFmtId="1" fontId="5" fillId="0" borderId="0" xfId="0" applyNumberFormat="1" applyFont="1" applyBorder="1" applyAlignment="1" applyProtection="1">
      <alignment horizontal="centerContinuous"/>
      <protection/>
    </xf>
    <xf numFmtId="1" fontId="5" fillId="0" borderId="13" xfId="0" applyNumberFormat="1" applyFont="1" applyBorder="1" applyAlignment="1" applyProtection="1">
      <alignment horizontal="centerContinuous" vertical="center"/>
      <protection/>
    </xf>
    <xf numFmtId="1" fontId="5" fillId="0" borderId="0" xfId="0" applyNumberFormat="1" applyFont="1" applyFill="1" applyBorder="1" applyAlignment="1" applyProtection="1">
      <alignment horizontal="centerContinuous"/>
      <protection/>
    </xf>
    <xf numFmtId="1" fontId="5" fillId="0" borderId="13" xfId="0" applyNumberFormat="1" applyFont="1" applyFill="1" applyBorder="1" applyAlignment="1" applyProtection="1">
      <alignment horizontal="centerContinuous"/>
      <protection/>
    </xf>
    <xf numFmtId="0" fontId="6" fillId="0" borderId="24" xfId="0" applyFont="1" applyBorder="1" applyAlignment="1" applyProtection="1">
      <alignment/>
      <protection/>
    </xf>
    <xf numFmtId="3" fontId="6" fillId="0" borderId="24" xfId="0" applyNumberFormat="1" applyFont="1" applyBorder="1" applyAlignment="1" applyProtection="1">
      <alignment horizontal="center"/>
      <protection/>
    </xf>
    <xf numFmtId="3" fontId="6" fillId="0" borderId="31" xfId="0" applyNumberFormat="1" applyFont="1" applyBorder="1" applyAlignment="1" applyProtection="1">
      <alignment horizontal="centerContinuous"/>
      <protection/>
    </xf>
    <xf numFmtId="3" fontId="6" fillId="0" borderId="26" xfId="0" applyNumberFormat="1" applyFont="1" applyBorder="1" applyAlignment="1" applyProtection="1">
      <alignment horizontal="centerContinuous"/>
      <protection/>
    </xf>
    <xf numFmtId="3" fontId="6" fillId="0" borderId="24" xfId="0" applyNumberFormat="1" applyFont="1" applyBorder="1" applyAlignment="1" applyProtection="1">
      <alignment horizontal="center" vertical="center"/>
      <protection/>
    </xf>
    <xf numFmtId="3" fontId="6" fillId="0" borderId="31" xfId="0" applyNumberFormat="1" applyFont="1" applyBorder="1" applyAlignment="1" applyProtection="1">
      <alignment horizontal="centerContinuous" vertical="center"/>
      <protection/>
    </xf>
    <xf numFmtId="3" fontId="6" fillId="0" borderId="26" xfId="0" applyNumberFormat="1" applyFont="1" applyBorder="1" applyAlignment="1" applyProtection="1">
      <alignment horizontal="centerContinuous" vertical="center"/>
      <protection/>
    </xf>
    <xf numFmtId="0" fontId="23" fillId="0" borderId="16" xfId="0" applyFont="1" applyBorder="1" applyAlignment="1" applyProtection="1">
      <alignment/>
      <protection/>
    </xf>
    <xf numFmtId="0" fontId="23" fillId="0" borderId="28" xfId="0" applyFont="1" applyBorder="1" applyAlignment="1" applyProtection="1">
      <alignment horizontal="center"/>
      <protection/>
    </xf>
    <xf numFmtId="3" fontId="23" fillId="0" borderId="28" xfId="0" applyNumberFormat="1" applyFont="1" applyFill="1" applyBorder="1" applyAlignment="1" applyProtection="1">
      <alignment horizontal="center"/>
      <protection/>
    </xf>
    <xf numFmtId="3" fontId="23" fillId="0" borderId="0" xfId="0" applyNumberFormat="1" applyFont="1" applyFill="1" applyBorder="1" applyAlignment="1" applyProtection="1">
      <alignment horizontal="centerContinuous"/>
      <protection/>
    </xf>
    <xf numFmtId="3" fontId="23" fillId="0" borderId="13" xfId="0" applyNumberFormat="1" applyFont="1" applyFill="1" applyBorder="1" applyAlignment="1" applyProtection="1">
      <alignment horizontal="centerContinuous"/>
      <protection/>
    </xf>
    <xf numFmtId="0" fontId="23" fillId="0" borderId="15" xfId="0" applyFont="1" applyBorder="1" applyAlignment="1" applyProtection="1">
      <alignment/>
      <protection/>
    </xf>
    <xf numFmtId="0" fontId="23" fillId="0" borderId="24" xfId="0" applyFont="1" applyBorder="1" applyAlignment="1" applyProtection="1">
      <alignment/>
      <protection/>
    </xf>
    <xf numFmtId="0" fontId="23" fillId="0" borderId="24" xfId="0" applyFont="1" applyBorder="1" applyAlignment="1" applyProtection="1">
      <alignment horizontal="center"/>
      <protection/>
    </xf>
    <xf numFmtId="3" fontId="23" fillId="0" borderId="24" xfId="0" applyNumberFormat="1" applyFont="1" applyFill="1" applyBorder="1" applyAlignment="1" applyProtection="1">
      <alignment horizontal="center"/>
      <protection/>
    </xf>
    <xf numFmtId="3" fontId="23" fillId="0" borderId="31" xfId="0" applyNumberFormat="1" applyFont="1" applyFill="1" applyBorder="1" applyAlignment="1" applyProtection="1">
      <alignment horizontal="centerContinuous"/>
      <protection/>
    </xf>
    <xf numFmtId="3" fontId="23" fillId="0" borderId="26" xfId="0" applyNumberFormat="1" applyFont="1" applyFill="1" applyBorder="1" applyAlignment="1" applyProtection="1">
      <alignment horizontal="centerContinuous"/>
      <protection/>
    </xf>
    <xf numFmtId="0" fontId="25" fillId="0" borderId="0" xfId="0" applyFont="1" applyFill="1" applyBorder="1" applyAlignment="1" applyProtection="1">
      <alignment/>
      <protection/>
    </xf>
    <xf numFmtId="0" fontId="25" fillId="0" borderId="0" xfId="0" applyFont="1" applyFill="1" applyBorder="1" applyAlignment="1" applyProtection="1">
      <alignment horizontal="center"/>
      <protection/>
    </xf>
    <xf numFmtId="1" fontId="25" fillId="0" borderId="0" xfId="0" applyNumberFormat="1" applyFont="1" applyFill="1" applyBorder="1" applyAlignment="1" applyProtection="1">
      <alignment horizontal="center"/>
      <protection/>
    </xf>
    <xf numFmtId="1" fontId="25" fillId="0" borderId="0" xfId="0" applyNumberFormat="1" applyFont="1" applyFill="1" applyBorder="1" applyAlignment="1" applyProtection="1">
      <alignment horizontal="centerContinuous"/>
      <protection/>
    </xf>
    <xf numFmtId="0" fontId="26" fillId="0" borderId="0" xfId="0" applyFont="1" applyFill="1" applyBorder="1" applyAlignment="1" applyProtection="1">
      <alignment horizontal="centerContinuous"/>
      <protection/>
    </xf>
    <xf numFmtId="0" fontId="30" fillId="0" borderId="0" xfId="0" applyFont="1" applyAlignment="1" applyProtection="1">
      <alignment/>
      <protection/>
    </xf>
    <xf numFmtId="0" fontId="27" fillId="0" borderId="0" xfId="0" applyFont="1" applyAlignment="1">
      <alignment/>
    </xf>
    <xf numFmtId="1" fontId="31" fillId="33" borderId="10" xfId="0" applyNumberFormat="1" applyFont="1" applyFill="1" applyBorder="1" applyAlignment="1" applyProtection="1">
      <alignment horizontal="center"/>
      <protection locked="0"/>
    </xf>
    <xf numFmtId="0" fontId="27" fillId="0" borderId="0" xfId="0" applyFont="1" applyBorder="1" applyAlignment="1" applyProtection="1">
      <alignment/>
      <protection/>
    </xf>
    <xf numFmtId="0" fontId="27" fillId="0" borderId="0" xfId="0" applyFont="1" applyAlignment="1" applyProtection="1">
      <alignment vertical="center"/>
      <protection/>
    </xf>
    <xf numFmtId="0" fontId="28" fillId="34" borderId="16" xfId="0" applyFont="1" applyFill="1" applyBorder="1" applyAlignment="1" applyProtection="1">
      <alignment/>
      <protection/>
    </xf>
    <xf numFmtId="0" fontId="24" fillId="34" borderId="15" xfId="0" applyFont="1" applyFill="1" applyBorder="1" applyAlignment="1" applyProtection="1">
      <alignment/>
      <protection/>
    </xf>
    <xf numFmtId="0" fontId="27" fillId="35" borderId="29" xfId="0" applyFont="1" applyFill="1" applyBorder="1" applyAlignment="1" applyProtection="1">
      <alignment horizontal="centerContinuous"/>
      <protection/>
    </xf>
    <xf numFmtId="0" fontId="27" fillId="35" borderId="30" xfId="0" applyFont="1" applyFill="1" applyBorder="1" applyAlignment="1" applyProtection="1">
      <alignment horizontal="centerContinuous" vertical="center"/>
      <protection/>
    </xf>
    <xf numFmtId="0" fontId="7" fillId="0" borderId="0" xfId="0" applyFont="1" applyBorder="1" applyAlignment="1">
      <alignment/>
    </xf>
    <xf numFmtId="2" fontId="8" fillId="33" borderId="10" xfId="0" applyNumberFormat="1" applyFont="1" applyFill="1" applyBorder="1" applyAlignment="1" applyProtection="1">
      <alignment horizontal="center"/>
      <protection locked="0"/>
    </xf>
    <xf numFmtId="0" fontId="7" fillId="36" borderId="0" xfId="0" applyFont="1" applyFill="1" applyBorder="1" applyAlignment="1" applyProtection="1">
      <alignment/>
      <protection/>
    </xf>
    <xf numFmtId="0" fontId="7" fillId="36" borderId="13" xfId="0" applyFont="1" applyFill="1" applyBorder="1" applyAlignment="1" applyProtection="1">
      <alignment/>
      <protection/>
    </xf>
    <xf numFmtId="0" fontId="4" fillId="0" borderId="0" xfId="0" applyFont="1" applyAlignment="1">
      <alignment/>
    </xf>
    <xf numFmtId="0" fontId="17" fillId="0" borderId="0" xfId="0" applyFont="1" applyAlignment="1">
      <alignment horizontal="left"/>
    </xf>
    <xf numFmtId="0" fontId="25" fillId="34" borderId="16" xfId="0" applyFont="1" applyFill="1" applyBorder="1" applyAlignment="1" applyProtection="1">
      <alignment/>
      <protection/>
    </xf>
    <xf numFmtId="0" fontId="23" fillId="34" borderId="28" xfId="0" applyFont="1" applyFill="1" applyBorder="1" applyAlignment="1" applyProtection="1">
      <alignment horizontal="center"/>
      <protection/>
    </xf>
    <xf numFmtId="0" fontId="23" fillId="34" borderId="24" xfId="0" applyFont="1" applyFill="1" applyBorder="1" applyAlignment="1" applyProtection="1">
      <alignment horizontal="center"/>
      <protection/>
    </xf>
    <xf numFmtId="2" fontId="7" fillId="0" borderId="10" xfId="0" applyNumberFormat="1" applyFont="1" applyFill="1" applyBorder="1" applyAlignment="1" applyProtection="1">
      <alignment horizontal="center"/>
      <protection/>
    </xf>
    <xf numFmtId="170" fontId="7" fillId="0" borderId="10" xfId="0" applyNumberFormat="1" applyFont="1" applyFill="1" applyBorder="1" applyAlignment="1" applyProtection="1">
      <alignment horizontal="center"/>
      <protection/>
    </xf>
    <xf numFmtId="170" fontId="7" fillId="33" borderId="25" xfId="0" applyNumberFormat="1" applyFont="1" applyFill="1" applyBorder="1" applyAlignment="1" applyProtection="1">
      <alignment horizontal="center"/>
      <protection locked="0"/>
    </xf>
    <xf numFmtId="0" fontId="34" fillId="0" borderId="20" xfId="0" applyFont="1" applyBorder="1" applyAlignment="1">
      <alignment horizontal="centerContinuous"/>
    </xf>
    <xf numFmtId="0" fontId="18" fillId="0" borderId="18" xfId="0" applyFont="1" applyBorder="1" applyAlignment="1">
      <alignment horizontal="centerContinuous"/>
    </xf>
    <xf numFmtId="0" fontId="17" fillId="0" borderId="18" xfId="0" applyFont="1" applyBorder="1" applyAlignment="1">
      <alignment horizontal="centerContinuous"/>
    </xf>
    <xf numFmtId="0" fontId="17" fillId="0" borderId="12" xfId="0" applyFont="1" applyBorder="1" applyAlignment="1">
      <alignment horizontal="centerContinuous"/>
    </xf>
    <xf numFmtId="0" fontId="20" fillId="0" borderId="17" xfId="0" applyFont="1" applyBorder="1" applyAlignment="1">
      <alignment horizontal="centerContinuous"/>
    </xf>
    <xf numFmtId="0" fontId="18" fillId="0" borderId="27" xfId="0" applyFont="1" applyBorder="1" applyAlignment="1">
      <alignment horizontal="centerContinuous"/>
    </xf>
    <xf numFmtId="0" fontId="17" fillId="0" borderId="27" xfId="0" applyFont="1" applyBorder="1" applyAlignment="1">
      <alignment horizontal="centerContinuous"/>
    </xf>
    <xf numFmtId="0" fontId="17" fillId="0" borderId="14" xfId="0" applyFont="1" applyBorder="1" applyAlignment="1">
      <alignment horizontal="centerContinuous"/>
    </xf>
    <xf numFmtId="1" fontId="7" fillId="0" borderId="10" xfId="0" applyNumberFormat="1" applyFont="1" applyFill="1" applyBorder="1" applyAlignment="1" applyProtection="1">
      <alignment horizontal="center"/>
      <protection/>
    </xf>
    <xf numFmtId="0" fontId="25" fillId="0" borderId="18" xfId="0" applyFont="1" applyFill="1" applyBorder="1" applyAlignment="1" applyProtection="1">
      <alignment/>
      <protection/>
    </xf>
    <xf numFmtId="0" fontId="25" fillId="0" borderId="20" xfId="0" applyFont="1" applyFill="1" applyBorder="1" applyAlignment="1" applyProtection="1">
      <alignment/>
      <protection/>
    </xf>
    <xf numFmtId="0" fontId="25" fillId="0" borderId="32" xfId="0" applyFont="1" applyFill="1" applyBorder="1" applyAlignment="1" applyProtection="1">
      <alignment horizontal="center"/>
      <protection/>
    </xf>
    <xf numFmtId="0" fontId="25" fillId="0" borderId="17" xfId="0" applyFont="1" applyFill="1" applyBorder="1" applyAlignment="1" applyProtection="1">
      <alignment/>
      <protection/>
    </xf>
    <xf numFmtId="0" fontId="25" fillId="0" borderId="27" xfId="0" applyFont="1" applyFill="1" applyBorder="1" applyAlignment="1" applyProtection="1">
      <alignment/>
      <protection/>
    </xf>
    <xf numFmtId="0" fontId="25" fillId="0" borderId="23" xfId="0" applyFont="1" applyFill="1" applyBorder="1" applyAlignment="1" applyProtection="1">
      <alignment horizontal="center"/>
      <protection/>
    </xf>
    <xf numFmtId="3" fontId="28" fillId="0" borderId="14" xfId="0" applyNumberFormat="1" applyFont="1" applyFill="1" applyBorder="1" applyAlignment="1" applyProtection="1">
      <alignment horizontal="centerContinuous"/>
      <protection/>
    </xf>
    <xf numFmtId="0" fontId="16" fillId="0" borderId="33" xfId="0" applyFont="1" applyBorder="1" applyAlignment="1" applyProtection="1">
      <alignment horizontal="centerContinuous" vertical="center"/>
      <protection/>
    </xf>
    <xf numFmtId="2" fontId="7" fillId="0" borderId="10" xfId="0" applyNumberFormat="1" applyFont="1" applyFill="1" applyBorder="1" applyAlignment="1" applyProtection="1">
      <alignment horizontal="center"/>
      <protection/>
    </xf>
    <xf numFmtId="0" fontId="15" fillId="34" borderId="34" xfId="0" applyFont="1" applyFill="1" applyBorder="1" applyAlignment="1" applyProtection="1">
      <alignment horizontal="centerContinuous"/>
      <protection/>
    </xf>
    <xf numFmtId="0" fontId="15" fillId="34" borderId="29" xfId="0" applyFont="1" applyFill="1" applyBorder="1" applyAlignment="1" applyProtection="1">
      <alignment horizontal="centerContinuous"/>
      <protection/>
    </xf>
    <xf numFmtId="0" fontId="15" fillId="34" borderId="30" xfId="0" applyFont="1" applyFill="1" applyBorder="1" applyAlignment="1" applyProtection="1">
      <alignment horizontal="centerContinuous"/>
      <protection/>
    </xf>
    <xf numFmtId="0" fontId="5" fillId="37" borderId="28" xfId="0" applyFont="1" applyFill="1" applyBorder="1" applyAlignment="1" applyProtection="1">
      <alignment/>
      <protection/>
    </xf>
    <xf numFmtId="0" fontId="5" fillId="37" borderId="28" xfId="0" applyFont="1" applyFill="1" applyBorder="1" applyAlignment="1" applyProtection="1">
      <alignment horizontal="center"/>
      <protection/>
    </xf>
    <xf numFmtId="0" fontId="6" fillId="37" borderId="15" xfId="0" applyFont="1" applyFill="1" applyBorder="1" applyAlignment="1" applyProtection="1">
      <alignment/>
      <protection/>
    </xf>
    <xf numFmtId="0" fontId="25" fillId="34" borderId="28" xfId="0" applyFont="1" applyFill="1" applyBorder="1" applyAlignment="1" applyProtection="1">
      <alignment/>
      <protection/>
    </xf>
    <xf numFmtId="0" fontId="25" fillId="34" borderId="28" xfId="0" applyFont="1" applyFill="1" applyBorder="1" applyAlignment="1" applyProtection="1">
      <alignment horizontal="center"/>
      <protection/>
    </xf>
    <xf numFmtId="3" fontId="26" fillId="34" borderId="13" xfId="0" applyNumberFormat="1" applyFont="1" applyFill="1" applyBorder="1" applyAlignment="1" applyProtection="1">
      <alignment horizontal="centerContinuous"/>
      <protection/>
    </xf>
    <xf numFmtId="0" fontId="7" fillId="0" borderId="27" xfId="0" applyFont="1" applyBorder="1" applyAlignment="1" applyProtection="1">
      <alignment/>
      <protection/>
    </xf>
    <xf numFmtId="166" fontId="17" fillId="0" borderId="0" xfId="59" applyFont="1" applyAlignment="1">
      <alignment/>
    </xf>
    <xf numFmtId="170" fontId="31" fillId="33" borderId="10" xfId="0" applyNumberFormat="1" applyFont="1" applyFill="1" applyBorder="1" applyAlignment="1" applyProtection="1">
      <alignment horizontal="center"/>
      <protection locked="0"/>
    </xf>
    <xf numFmtId="2" fontId="10" fillId="33" borderId="25" xfId="0" applyNumberFormat="1" applyFont="1" applyFill="1" applyBorder="1" applyAlignment="1" applyProtection="1">
      <alignment horizontal="center"/>
      <protection locked="0"/>
    </xf>
    <xf numFmtId="0" fontId="41" fillId="37" borderId="16" xfId="0" applyFont="1" applyFill="1" applyBorder="1" applyAlignment="1" applyProtection="1">
      <alignment/>
      <protection/>
    </xf>
    <xf numFmtId="0" fontId="7" fillId="0" borderId="26" xfId="0" applyFont="1" applyBorder="1" applyAlignment="1" applyProtection="1">
      <alignment/>
      <protection/>
    </xf>
    <xf numFmtId="0" fontId="7" fillId="0" borderId="31" xfId="0" applyFont="1" applyBorder="1" applyAlignment="1" applyProtection="1">
      <alignment/>
      <protection/>
    </xf>
    <xf numFmtId="170" fontId="8" fillId="33" borderId="10" xfId="0" applyNumberFormat="1" applyFont="1" applyFill="1" applyBorder="1" applyAlignment="1" applyProtection="1">
      <alignment horizontal="center"/>
      <protection locked="0"/>
    </xf>
    <xf numFmtId="0" fontId="7" fillId="0" borderId="0" xfId="0" applyFont="1" applyAlignment="1">
      <alignment/>
    </xf>
    <xf numFmtId="2" fontId="8" fillId="0" borderId="32" xfId="0" applyNumberFormat="1" applyFont="1" applyFill="1" applyBorder="1" applyAlignment="1" applyProtection="1">
      <alignment horizontal="center"/>
      <protection/>
    </xf>
    <xf numFmtId="0" fontId="0" fillId="0" borderId="0" xfId="0" applyAlignment="1">
      <alignment horizontal="left" vertical="center"/>
    </xf>
    <xf numFmtId="0" fontId="7" fillId="0" borderId="0" xfId="0" applyFont="1" applyFill="1" applyBorder="1" applyAlignment="1">
      <alignment horizontal="left"/>
    </xf>
    <xf numFmtId="0" fontId="7" fillId="0" borderId="0" xfId="0" applyFont="1" applyAlignment="1">
      <alignment horizontal="center" vertical="center"/>
    </xf>
    <xf numFmtId="0" fontId="7" fillId="0" borderId="0" xfId="0" applyFont="1" applyAlignment="1">
      <alignment vertical="center"/>
    </xf>
    <xf numFmtId="1" fontId="6" fillId="0" borderId="26" xfId="0" applyNumberFormat="1" applyFont="1" applyBorder="1" applyAlignment="1" applyProtection="1">
      <alignment horizontal="centerContinuous"/>
      <protection/>
    </xf>
    <xf numFmtId="1" fontId="5" fillId="0" borderId="26" xfId="0" applyNumberFormat="1" applyFont="1" applyFill="1" applyBorder="1" applyAlignment="1" applyProtection="1">
      <alignment horizontal="centerContinuous"/>
      <protection/>
    </xf>
    <xf numFmtId="1" fontId="6" fillId="0" borderId="0" xfId="0" applyNumberFormat="1" applyFont="1" applyBorder="1" applyAlignment="1" applyProtection="1">
      <alignment horizontal="centerContinuous"/>
      <protection/>
    </xf>
    <xf numFmtId="1" fontId="6" fillId="0" borderId="13" xfId="0" applyNumberFormat="1" applyFont="1" applyBorder="1" applyAlignment="1" applyProtection="1">
      <alignment horizontal="centerContinuous"/>
      <protection/>
    </xf>
    <xf numFmtId="1" fontId="5" fillId="0" borderId="24" xfId="0" applyNumberFormat="1" applyFont="1" applyFill="1" applyBorder="1" applyAlignment="1" applyProtection="1">
      <alignment horizontal="center"/>
      <protection/>
    </xf>
    <xf numFmtId="1" fontId="5" fillId="0" borderId="31" xfId="0" applyNumberFormat="1" applyFont="1" applyFill="1" applyBorder="1" applyAlignment="1" applyProtection="1">
      <alignment horizontal="centerContinuous"/>
      <protection/>
    </xf>
    <xf numFmtId="0" fontId="16" fillId="0" borderId="20" xfId="0" applyFont="1" applyBorder="1" applyAlignment="1" applyProtection="1">
      <alignment horizontal="left"/>
      <protection/>
    </xf>
    <xf numFmtId="0" fontId="25" fillId="0" borderId="19"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16" xfId="0" applyFont="1" applyFill="1" applyBorder="1" applyAlignment="1" applyProtection="1">
      <alignment/>
      <protection/>
    </xf>
    <xf numFmtId="0" fontId="25" fillId="0" borderId="28" xfId="0" applyFont="1" applyFill="1" applyBorder="1" applyAlignment="1" applyProtection="1">
      <alignment/>
      <protection/>
    </xf>
    <xf numFmtId="0" fontId="25" fillId="0" borderId="28" xfId="0" applyFont="1" applyFill="1" applyBorder="1" applyAlignment="1" applyProtection="1">
      <alignment horizontal="center"/>
      <protection/>
    </xf>
    <xf numFmtId="3" fontId="25" fillId="0" borderId="10" xfId="0" applyNumberFormat="1" applyFont="1" applyFill="1" applyBorder="1" applyAlignment="1" applyProtection="1">
      <alignment horizontal="center"/>
      <protection/>
    </xf>
    <xf numFmtId="3" fontId="25" fillId="0" borderId="28" xfId="0" applyNumberFormat="1" applyFont="1" applyFill="1" applyBorder="1" applyAlignment="1" applyProtection="1">
      <alignment horizontal="center"/>
      <protection/>
    </xf>
    <xf numFmtId="3" fontId="25" fillId="0" borderId="35" xfId="0" applyNumberFormat="1" applyFont="1" applyFill="1" applyBorder="1" applyAlignment="1" applyProtection="1">
      <alignment horizontal="center"/>
      <protection/>
    </xf>
    <xf numFmtId="3" fontId="25" fillId="0" borderId="13" xfId="0" applyNumberFormat="1" applyFont="1" applyFill="1" applyBorder="1" applyAlignment="1" applyProtection="1">
      <alignment horizontal="center"/>
      <protection/>
    </xf>
    <xf numFmtId="0" fontId="25" fillId="0" borderId="21" xfId="0" applyFont="1" applyFill="1" applyBorder="1" applyAlignment="1" applyProtection="1">
      <alignment/>
      <protection/>
    </xf>
    <xf numFmtId="0" fontId="25" fillId="0" borderId="21" xfId="0" applyFont="1" applyFill="1" applyBorder="1" applyAlignment="1" applyProtection="1">
      <alignment horizontal="center"/>
      <protection/>
    </xf>
    <xf numFmtId="1" fontId="41" fillId="37" borderId="26" xfId="0" applyNumberFormat="1" applyFont="1" applyFill="1" applyBorder="1" applyAlignment="1" applyProtection="1">
      <alignment horizontal="centerContinuous"/>
      <protection/>
    </xf>
    <xf numFmtId="0" fontId="46" fillId="0" borderId="20" xfId="0" applyFont="1" applyBorder="1" applyAlignment="1" applyProtection="1">
      <alignment/>
      <protection/>
    </xf>
    <xf numFmtId="0" fontId="46" fillId="0" borderId="17" xfId="0" applyFont="1" applyBorder="1" applyAlignment="1" applyProtection="1">
      <alignment/>
      <protection/>
    </xf>
    <xf numFmtId="2" fontId="7" fillId="33" borderId="21" xfId="0" applyNumberFormat="1" applyFont="1" applyFill="1" applyBorder="1" applyAlignment="1" applyProtection="1">
      <alignment horizontal="center"/>
      <protection locked="0"/>
    </xf>
    <xf numFmtId="174" fontId="37" fillId="0" borderId="28" xfId="59" applyNumberFormat="1" applyFont="1" applyBorder="1" applyAlignment="1">
      <alignment horizontal="center"/>
    </xf>
    <xf numFmtId="2" fontId="7" fillId="0" borderId="23" xfId="0" applyNumberFormat="1" applyFont="1" applyFill="1" applyBorder="1" applyAlignment="1" applyProtection="1">
      <alignment horizontal="center"/>
      <protection/>
    </xf>
    <xf numFmtId="2" fontId="5" fillId="0" borderId="28" xfId="0" applyNumberFormat="1" applyFont="1" applyBorder="1" applyAlignment="1" applyProtection="1">
      <alignment horizontal="center"/>
      <protection/>
    </xf>
    <xf numFmtId="2" fontId="5" fillId="0" borderId="0" xfId="0" applyNumberFormat="1" applyFont="1" applyBorder="1" applyAlignment="1" applyProtection="1">
      <alignment horizontal="centerContinuous"/>
      <protection/>
    </xf>
    <xf numFmtId="2" fontId="5" fillId="0" borderId="28" xfId="0" applyNumberFormat="1" applyFont="1" applyFill="1" applyBorder="1" applyAlignment="1" applyProtection="1">
      <alignment horizontal="center"/>
      <protection/>
    </xf>
    <xf numFmtId="2" fontId="5" fillId="0" borderId="0" xfId="0" applyNumberFormat="1" applyFont="1" applyFill="1" applyBorder="1" applyAlignment="1" applyProtection="1">
      <alignment horizontal="centerContinuous"/>
      <protection/>
    </xf>
    <xf numFmtId="2" fontId="6" fillId="0" borderId="24" xfId="0" applyNumberFormat="1" applyFont="1" applyBorder="1" applyAlignment="1" applyProtection="1">
      <alignment horizontal="center"/>
      <protection/>
    </xf>
    <xf numFmtId="2" fontId="6" fillId="0" borderId="31" xfId="0" applyNumberFormat="1" applyFont="1" applyBorder="1" applyAlignment="1" applyProtection="1">
      <alignment horizontal="centerContinuous"/>
      <protection/>
    </xf>
    <xf numFmtId="0" fontId="4" fillId="0" borderId="0" xfId="0" applyFont="1" applyAlignment="1">
      <alignment/>
    </xf>
    <xf numFmtId="0" fontId="15" fillId="0" borderId="36" xfId="0" applyFont="1" applyFill="1" applyBorder="1" applyAlignment="1" applyProtection="1">
      <alignment horizontal="center"/>
      <protection/>
    </xf>
    <xf numFmtId="0" fontId="15" fillId="0" borderId="21" xfId="0" applyFont="1" applyFill="1" applyBorder="1" applyAlignment="1" applyProtection="1">
      <alignment horizontal="center"/>
      <protection/>
    </xf>
    <xf numFmtId="0" fontId="15" fillId="0" borderId="27" xfId="0" applyFont="1" applyFill="1" applyBorder="1" applyAlignment="1" applyProtection="1">
      <alignment horizontal="centerContinuous"/>
      <protection/>
    </xf>
    <xf numFmtId="0" fontId="7" fillId="0" borderId="28" xfId="0" applyFont="1" applyBorder="1" applyAlignment="1">
      <alignment/>
    </xf>
    <xf numFmtId="0" fontId="25" fillId="37" borderId="16" xfId="0" applyFont="1" applyFill="1" applyBorder="1" applyAlignment="1" applyProtection="1">
      <alignment/>
      <protection/>
    </xf>
    <xf numFmtId="0" fontId="25" fillId="37" borderId="28" xfId="0" applyFont="1" applyFill="1" applyBorder="1" applyAlignment="1" applyProtection="1">
      <alignment/>
      <protection/>
    </xf>
    <xf numFmtId="0" fontId="25" fillId="37" borderId="28" xfId="0" applyFont="1" applyFill="1" applyBorder="1" applyAlignment="1" applyProtection="1">
      <alignment horizontal="center"/>
      <protection/>
    </xf>
    <xf numFmtId="173" fontId="37" fillId="0" borderId="28" xfId="59" applyNumberFormat="1" applyFont="1" applyBorder="1" applyAlignment="1">
      <alignment horizontal="center"/>
    </xf>
    <xf numFmtId="0" fontId="19" fillId="0" borderId="24" xfId="0" applyFont="1" applyBorder="1" applyAlignment="1">
      <alignment horizontal="center"/>
    </xf>
    <xf numFmtId="172" fontId="37" fillId="0" borderId="21" xfId="51" applyNumberFormat="1" applyFont="1" applyBorder="1" applyAlignment="1">
      <alignment horizontal="center"/>
    </xf>
    <xf numFmtId="172" fontId="28" fillId="34" borderId="28" xfId="51" applyNumberFormat="1" applyFont="1" applyFill="1" applyBorder="1" applyAlignment="1" applyProtection="1">
      <alignment horizontal="center"/>
      <protection/>
    </xf>
    <xf numFmtId="170" fontId="37" fillId="0" borderId="24" xfId="59" applyNumberFormat="1" applyFont="1" applyBorder="1" applyAlignment="1">
      <alignment horizontal="center"/>
    </xf>
    <xf numFmtId="0" fontId="36" fillId="34" borderId="37" xfId="0" applyFont="1" applyFill="1" applyBorder="1" applyAlignment="1" applyProtection="1">
      <alignment horizontal="centerContinuous"/>
      <protection/>
    </xf>
    <xf numFmtId="0" fontId="8" fillId="0" borderId="0" xfId="0" applyFont="1" applyAlignment="1">
      <alignment/>
    </xf>
    <xf numFmtId="0" fontId="52" fillId="0" borderId="0" xfId="0" applyFont="1" applyAlignment="1">
      <alignment horizontal="left" vertical="center"/>
    </xf>
    <xf numFmtId="0" fontId="52" fillId="0" borderId="0" xfId="0" applyFont="1" applyAlignment="1">
      <alignment/>
    </xf>
    <xf numFmtId="0" fontId="52" fillId="0" borderId="0" xfId="0" applyFont="1" applyAlignment="1">
      <alignment vertical="center"/>
    </xf>
    <xf numFmtId="0" fontId="5" fillId="0" borderId="0" xfId="0" applyFont="1" applyAlignment="1" applyProtection="1">
      <alignment vertical="center"/>
      <protection/>
    </xf>
    <xf numFmtId="0" fontId="5" fillId="0" borderId="0" xfId="0" applyFont="1" applyAlignment="1">
      <alignment vertical="center"/>
    </xf>
    <xf numFmtId="0" fontId="5" fillId="0" borderId="0" xfId="0" applyFont="1" applyAlignment="1">
      <alignment/>
    </xf>
    <xf numFmtId="1" fontId="5" fillId="0" borderId="28" xfId="0" applyNumberFormat="1" applyFont="1" applyFill="1" applyBorder="1" applyAlignment="1" applyProtection="1">
      <alignment horizontal="center" vertical="center"/>
      <protection/>
    </xf>
    <xf numFmtId="1" fontId="5" fillId="0" borderId="0" xfId="0" applyNumberFormat="1" applyFont="1" applyFill="1" applyBorder="1" applyAlignment="1" applyProtection="1">
      <alignment horizontal="centerContinuous" vertical="center"/>
      <protection/>
    </xf>
    <xf numFmtId="0" fontId="5" fillId="0" borderId="0" xfId="0" applyFont="1" applyAlignment="1" applyProtection="1">
      <alignment/>
      <protection/>
    </xf>
    <xf numFmtId="1" fontId="5" fillId="0" borderId="13" xfId="0" applyNumberFormat="1" applyFont="1" applyFill="1" applyBorder="1" applyAlignment="1" applyProtection="1">
      <alignment horizontal="centerContinuous" vertical="center"/>
      <protection/>
    </xf>
    <xf numFmtId="1" fontId="5" fillId="0" borderId="38" xfId="0" applyNumberFormat="1" applyFont="1" applyFill="1" applyBorder="1" applyAlignment="1" applyProtection="1">
      <alignment/>
      <protection/>
    </xf>
    <xf numFmtId="1" fontId="5" fillId="0" borderId="39" xfId="0" applyNumberFormat="1" applyFont="1" applyFill="1" applyBorder="1" applyAlignment="1" applyProtection="1">
      <alignment/>
      <protection/>
    </xf>
    <xf numFmtId="0" fontId="5" fillId="0" borderId="39" xfId="0" applyFont="1" applyFill="1" applyBorder="1" applyAlignment="1" applyProtection="1">
      <alignment horizontal="center"/>
      <protection/>
    </xf>
    <xf numFmtId="0" fontId="28" fillId="37" borderId="16" xfId="0" applyFont="1" applyFill="1" applyBorder="1" applyAlignment="1" applyProtection="1">
      <alignment/>
      <protection/>
    </xf>
    <xf numFmtId="2" fontId="25" fillId="37" borderId="13" xfId="0" applyNumberFormat="1" applyFont="1" applyFill="1" applyBorder="1" applyAlignment="1" applyProtection="1">
      <alignment horizontal="centerContinuous"/>
      <protection/>
    </xf>
    <xf numFmtId="0" fontId="28" fillId="34" borderId="0" xfId="0" applyFont="1" applyFill="1" applyBorder="1" applyAlignment="1" applyProtection="1">
      <alignment/>
      <protection/>
    </xf>
    <xf numFmtId="0" fontId="28" fillId="34" borderId="10" xfId="0" applyFont="1" applyFill="1" applyBorder="1" applyAlignment="1" applyProtection="1">
      <alignment horizontal="center"/>
      <protection/>
    </xf>
    <xf numFmtId="0" fontId="19" fillId="37" borderId="24" xfId="0" applyFont="1" applyFill="1" applyBorder="1" applyAlignment="1" applyProtection="1">
      <alignment/>
      <protection/>
    </xf>
    <xf numFmtId="0" fontId="19" fillId="37" borderId="24" xfId="0" applyFont="1" applyFill="1" applyBorder="1" applyAlignment="1" applyProtection="1">
      <alignment horizontal="center"/>
      <protection/>
    </xf>
    <xf numFmtId="0" fontId="28" fillId="37" borderId="16" xfId="0" applyFont="1" applyFill="1" applyBorder="1" applyAlignment="1" applyProtection="1">
      <alignment/>
      <protection/>
    </xf>
    <xf numFmtId="0" fontId="28" fillId="37" borderId="28" xfId="0" applyFont="1" applyFill="1" applyBorder="1" applyAlignment="1" applyProtection="1">
      <alignment/>
      <protection/>
    </xf>
    <xf numFmtId="0" fontId="28" fillId="37" borderId="28" xfId="0" applyFont="1" applyFill="1" applyBorder="1" applyAlignment="1" applyProtection="1">
      <alignment horizontal="center"/>
      <protection/>
    </xf>
    <xf numFmtId="172" fontId="28" fillId="37" borderId="28" xfId="51" applyNumberFormat="1" applyFont="1" applyFill="1" applyBorder="1" applyAlignment="1" applyProtection="1">
      <alignment horizontal="center"/>
      <protection/>
    </xf>
    <xf numFmtId="0" fontId="39" fillId="0" borderId="0" xfId="0" applyFont="1" applyAlignment="1">
      <alignment/>
    </xf>
    <xf numFmtId="0" fontId="4" fillId="0" borderId="0" xfId="0" applyFont="1" applyAlignment="1">
      <alignment vertical="center"/>
    </xf>
    <xf numFmtId="0" fontId="5" fillId="0" borderId="0" xfId="0" applyFont="1" applyBorder="1" applyAlignment="1" applyProtection="1">
      <alignment vertical="center"/>
      <protection/>
    </xf>
    <xf numFmtId="0" fontId="28" fillId="34" borderId="40" xfId="0" applyFont="1" applyFill="1" applyBorder="1" applyAlignment="1" applyProtection="1">
      <alignment/>
      <protection/>
    </xf>
    <xf numFmtId="0" fontId="28" fillId="34" borderId="41" xfId="0" applyFont="1" applyFill="1" applyBorder="1" applyAlignment="1" applyProtection="1">
      <alignment/>
      <protection/>
    </xf>
    <xf numFmtId="0" fontId="28" fillId="34" borderId="41" xfId="0" applyFont="1" applyFill="1" applyBorder="1" applyAlignment="1" applyProtection="1">
      <alignment horizontal="center"/>
      <protection/>
    </xf>
    <xf numFmtId="3" fontId="32" fillId="34" borderId="42" xfId="0" applyNumberFormat="1" applyFont="1" applyFill="1" applyBorder="1" applyAlignment="1" applyProtection="1">
      <alignment horizontal="centerContinuous"/>
      <protection/>
    </xf>
    <xf numFmtId="0" fontId="23" fillId="34" borderId="15" xfId="0" applyFont="1" applyFill="1" applyBorder="1" applyAlignment="1" applyProtection="1">
      <alignment horizontal="left"/>
      <protection/>
    </xf>
    <xf numFmtId="0" fontId="23" fillId="34" borderId="24" xfId="0" applyFont="1" applyFill="1" applyBorder="1" applyAlignment="1" applyProtection="1">
      <alignment/>
      <protection/>
    </xf>
    <xf numFmtId="9" fontId="23" fillId="34" borderId="24" xfId="51" applyFont="1" applyFill="1" applyBorder="1" applyAlignment="1" applyProtection="1">
      <alignment horizontal="center"/>
      <protection/>
    </xf>
    <xf numFmtId="0" fontId="25" fillId="37" borderId="16" xfId="0" applyFont="1" applyFill="1" applyBorder="1" applyAlignment="1" applyProtection="1">
      <alignment/>
      <protection/>
    </xf>
    <xf numFmtId="1" fontId="28" fillId="37" borderId="13" xfId="0" applyNumberFormat="1" applyFont="1" applyFill="1" applyBorder="1" applyAlignment="1" applyProtection="1">
      <alignment horizontal="centerContinuous"/>
      <protection/>
    </xf>
    <xf numFmtId="0" fontId="17" fillId="0" borderId="0" xfId="0" applyFont="1" applyAlignment="1">
      <alignment/>
    </xf>
    <xf numFmtId="0" fontId="17" fillId="0" borderId="0" xfId="0" applyFont="1" applyBorder="1" applyAlignment="1" applyProtection="1">
      <alignment/>
      <protection/>
    </xf>
    <xf numFmtId="0" fontId="17" fillId="0" borderId="0" xfId="0" applyFont="1" applyAlignment="1" applyProtection="1">
      <alignment/>
      <protection/>
    </xf>
    <xf numFmtId="0" fontId="26" fillId="37" borderId="17" xfId="0" applyFont="1" applyFill="1" applyBorder="1" applyAlignment="1" applyProtection="1">
      <alignment/>
      <protection/>
    </xf>
    <xf numFmtId="0" fontId="26" fillId="37" borderId="21" xfId="0" applyFont="1" applyFill="1" applyBorder="1" applyAlignment="1" applyProtection="1">
      <alignment/>
      <protection/>
    </xf>
    <xf numFmtId="0" fontId="26" fillId="37" borderId="21" xfId="0" applyFont="1" applyFill="1" applyBorder="1" applyAlignment="1" applyProtection="1">
      <alignment horizontal="center"/>
      <protection/>
    </xf>
    <xf numFmtId="9" fontId="26" fillId="37" borderId="21" xfId="51" applyFont="1" applyFill="1" applyBorder="1" applyAlignment="1" applyProtection="1">
      <alignment horizontal="center"/>
      <protection/>
    </xf>
    <xf numFmtId="9" fontId="26" fillId="37" borderId="27" xfId="51" applyFont="1" applyFill="1" applyBorder="1" applyAlignment="1" applyProtection="1">
      <alignment horizontal="centerContinuous"/>
      <protection/>
    </xf>
    <xf numFmtId="9" fontId="26" fillId="37" borderId="14" xfId="51" applyFont="1" applyFill="1" applyBorder="1" applyAlignment="1" applyProtection="1">
      <alignment horizontal="centerContinuous"/>
      <protection/>
    </xf>
    <xf numFmtId="1" fontId="6" fillId="0" borderId="24" xfId="0" applyNumberFormat="1" applyFont="1" applyBorder="1" applyAlignment="1" applyProtection="1">
      <alignment horizontal="center"/>
      <protection/>
    </xf>
    <xf numFmtId="1" fontId="49" fillId="0" borderId="43" xfId="0" applyNumberFormat="1" applyFont="1" applyBorder="1" applyAlignment="1">
      <alignment horizontal="center"/>
    </xf>
    <xf numFmtId="0" fontId="49" fillId="0" borderId="28" xfId="0" applyFont="1" applyBorder="1" applyAlignment="1">
      <alignment horizontal="center"/>
    </xf>
    <xf numFmtId="0" fontId="49" fillId="0" borderId="24" xfId="0" applyFont="1" applyBorder="1" applyAlignment="1">
      <alignment horizontal="center"/>
    </xf>
    <xf numFmtId="0" fontId="49" fillId="0" borderId="21" xfId="0" applyFont="1" applyBorder="1" applyAlignment="1">
      <alignment horizontal="center"/>
    </xf>
    <xf numFmtId="173" fontId="39" fillId="0" borderId="0" xfId="59" applyNumberFormat="1" applyFont="1" applyAlignment="1">
      <alignment horizontal="center"/>
    </xf>
    <xf numFmtId="173" fontId="40" fillId="0" borderId="0" xfId="59" applyNumberFormat="1" applyFont="1" applyAlignment="1">
      <alignment horizontal="center"/>
    </xf>
    <xf numFmtId="0" fontId="39" fillId="0" borderId="0" xfId="0" applyFont="1" applyAlignment="1">
      <alignment horizontal="left"/>
    </xf>
    <xf numFmtId="0" fontId="49" fillId="0" borderId="44" xfId="0" applyFont="1" applyBorder="1" applyAlignment="1">
      <alignment/>
    </xf>
    <xf numFmtId="0" fontId="49" fillId="0" borderId="45" xfId="0" applyFont="1" applyBorder="1" applyAlignment="1">
      <alignment/>
    </xf>
    <xf numFmtId="0" fontId="49" fillId="0" borderId="46" xfId="0" applyFont="1" applyBorder="1" applyAlignment="1">
      <alignment/>
    </xf>
    <xf numFmtId="0" fontId="49" fillId="0" borderId="36" xfId="0" applyFont="1" applyBorder="1" applyAlignment="1">
      <alignment/>
    </xf>
    <xf numFmtId="2" fontId="10" fillId="33" borderId="10" xfId="0" applyNumberFormat="1" applyFont="1" applyFill="1" applyBorder="1" applyAlignment="1" applyProtection="1">
      <alignment horizontal="center"/>
      <protection locked="0"/>
    </xf>
    <xf numFmtId="0" fontId="21" fillId="0" borderId="0" xfId="0" applyFont="1" applyAlignment="1" applyProtection="1">
      <alignment/>
      <protection/>
    </xf>
    <xf numFmtId="0" fontId="53" fillId="0" borderId="18" xfId="0" applyFont="1" applyBorder="1" applyAlignment="1">
      <alignment horizontal="centerContinuous"/>
    </xf>
    <xf numFmtId="0" fontId="20" fillId="0" borderId="27" xfId="0" applyFont="1" applyBorder="1" applyAlignment="1">
      <alignment horizontal="centerContinuous"/>
    </xf>
    <xf numFmtId="173" fontId="39" fillId="0" borderId="47" xfId="59" applyNumberFormat="1" applyFont="1" applyBorder="1" applyAlignment="1">
      <alignment horizontal="center"/>
    </xf>
    <xf numFmtId="0" fontId="34" fillId="0" borderId="18" xfId="0" applyFont="1" applyBorder="1" applyAlignment="1">
      <alignment horizontal="centerContinuous"/>
    </xf>
    <xf numFmtId="173" fontId="40" fillId="0" borderId="47" xfId="59" applyNumberFormat="1" applyFont="1" applyBorder="1" applyAlignment="1">
      <alignment horizontal="center"/>
    </xf>
    <xf numFmtId="0" fontId="40" fillId="0" borderId="0" xfId="0" applyFont="1" applyAlignment="1">
      <alignment horizontal="left" vertical="top" wrapText="1"/>
    </xf>
    <xf numFmtId="0" fontId="0" fillId="0" borderId="0" xfId="0" applyBorder="1" applyAlignment="1">
      <alignment/>
    </xf>
    <xf numFmtId="0" fontId="7" fillId="0" borderId="48" xfId="0" applyFont="1" applyBorder="1" applyAlignment="1" applyProtection="1">
      <alignment/>
      <protection/>
    </xf>
    <xf numFmtId="2" fontId="8" fillId="0" borderId="10" xfId="0" applyNumberFormat="1" applyFont="1" applyFill="1" applyBorder="1" applyAlignment="1" applyProtection="1">
      <alignment horizontal="center"/>
      <protection/>
    </xf>
    <xf numFmtId="0" fontId="36" fillId="37" borderId="49" xfId="0" applyFont="1" applyFill="1" applyBorder="1" applyAlignment="1" applyProtection="1">
      <alignment horizontal="centerContinuous"/>
      <protection/>
    </xf>
    <xf numFmtId="0" fontId="22" fillId="37" borderId="50" xfId="0" applyFont="1" applyFill="1" applyBorder="1" applyAlignment="1" applyProtection="1">
      <alignment horizontal="centerContinuous"/>
      <protection/>
    </xf>
    <xf numFmtId="0" fontId="22" fillId="37" borderId="51" xfId="0" applyFont="1" applyFill="1" applyBorder="1" applyAlignment="1" applyProtection="1">
      <alignment horizontal="centerContinuous" vertical="center"/>
      <protection/>
    </xf>
    <xf numFmtId="9" fontId="37" fillId="0" borderId="24" xfId="51" applyFont="1" applyBorder="1" applyAlignment="1">
      <alignment horizontal="center"/>
    </xf>
    <xf numFmtId="173" fontId="39" fillId="0" borderId="0" xfId="59" applyNumberFormat="1" applyFont="1" applyBorder="1" applyAlignment="1">
      <alignment horizontal="center"/>
    </xf>
    <xf numFmtId="171" fontId="39" fillId="0" borderId="47" xfId="59" applyNumberFormat="1" applyFont="1" applyBorder="1" applyAlignment="1">
      <alignment horizontal="center"/>
    </xf>
    <xf numFmtId="171" fontId="39" fillId="0" borderId="0" xfId="59" applyNumberFormat="1" applyFont="1" applyBorder="1" applyAlignment="1">
      <alignment horizontal="center"/>
    </xf>
    <xf numFmtId="2" fontId="37" fillId="0" borderId="28" xfId="59" applyNumberFormat="1" applyFont="1" applyBorder="1" applyAlignment="1">
      <alignment horizontal="center"/>
    </xf>
    <xf numFmtId="1" fontId="49" fillId="0" borderId="52" xfId="0" applyNumberFormat="1" applyFont="1" applyBorder="1" applyAlignment="1">
      <alignment horizontal="center"/>
    </xf>
    <xf numFmtId="0" fontId="49" fillId="0" borderId="0" xfId="0" applyFont="1" applyBorder="1" applyAlignment="1">
      <alignment horizontal="center"/>
    </xf>
    <xf numFmtId="0" fontId="49" fillId="0" borderId="31" xfId="0" applyFont="1" applyBorder="1" applyAlignment="1">
      <alignment horizontal="center"/>
    </xf>
    <xf numFmtId="0" fontId="49" fillId="0" borderId="27" xfId="0" applyFont="1" applyBorder="1" applyAlignment="1">
      <alignment horizontal="center"/>
    </xf>
    <xf numFmtId="0" fontId="7" fillId="0" borderId="17" xfId="0" applyFont="1" applyBorder="1" applyAlignment="1">
      <alignment/>
    </xf>
    <xf numFmtId="2" fontId="7" fillId="33" borderId="23" xfId="0" applyNumberFormat="1" applyFont="1" applyFill="1" applyBorder="1" applyAlignment="1" applyProtection="1">
      <alignment horizontal="center"/>
      <protection locked="0"/>
    </xf>
    <xf numFmtId="0" fontId="7" fillId="0" borderId="14" xfId="0" applyFont="1" applyBorder="1" applyAlignment="1">
      <alignment/>
    </xf>
    <xf numFmtId="2" fontId="10" fillId="0" borderId="10" xfId="0" applyNumberFormat="1" applyFont="1" applyFill="1" applyBorder="1" applyAlignment="1" applyProtection="1">
      <alignment horizontal="center"/>
      <protection/>
    </xf>
    <xf numFmtId="0" fontId="7" fillId="0" borderId="0" xfId="0" applyFont="1" applyAlignment="1" applyProtection="1">
      <alignment horizontal="right"/>
      <protection/>
    </xf>
    <xf numFmtId="0" fontId="7" fillId="0" borderId="18" xfId="0" applyFont="1" applyBorder="1" applyAlignment="1" applyProtection="1">
      <alignment/>
      <protection/>
    </xf>
    <xf numFmtId="0" fontId="36" fillId="34" borderId="34" xfId="0" applyFont="1" applyFill="1" applyBorder="1" applyAlignment="1" applyProtection="1">
      <alignment horizontal="centerContinuous"/>
      <protection/>
    </xf>
    <xf numFmtId="0" fontId="5" fillId="0" borderId="0" xfId="0" applyFont="1" applyBorder="1" applyAlignment="1" applyProtection="1">
      <alignment/>
      <protection/>
    </xf>
    <xf numFmtId="0" fontId="6" fillId="0" borderId="31" xfId="0" applyFont="1" applyBorder="1" applyAlignment="1" applyProtection="1">
      <alignment/>
      <protection/>
    </xf>
    <xf numFmtId="0" fontId="28" fillId="34" borderId="53" xfId="0" applyFont="1" applyFill="1" applyBorder="1" applyAlignment="1" applyProtection="1">
      <alignment/>
      <protection/>
    </xf>
    <xf numFmtId="0" fontId="23" fillId="34" borderId="31" xfId="0" applyFont="1" applyFill="1" applyBorder="1" applyAlignment="1" applyProtection="1">
      <alignment horizontal="left"/>
      <protection/>
    </xf>
    <xf numFmtId="0" fontId="23" fillId="0" borderId="31" xfId="0" applyFont="1" applyBorder="1" applyAlignment="1" applyProtection="1">
      <alignment/>
      <protection/>
    </xf>
    <xf numFmtId="0" fontId="24" fillId="34" borderId="31" xfId="0" applyFont="1" applyFill="1" applyBorder="1" applyAlignment="1" applyProtection="1">
      <alignment/>
      <protection/>
    </xf>
    <xf numFmtId="0" fontId="25" fillId="34" borderId="0" xfId="0" applyFont="1" applyFill="1" applyBorder="1" applyAlignment="1" applyProtection="1">
      <alignment/>
      <protection/>
    </xf>
    <xf numFmtId="0" fontId="36" fillId="37" borderId="50" xfId="0" applyFont="1" applyFill="1" applyBorder="1" applyAlignment="1" applyProtection="1">
      <alignment horizontal="centerContinuous"/>
      <protection/>
    </xf>
    <xf numFmtId="0" fontId="8" fillId="0" borderId="0" xfId="0" applyFont="1" applyBorder="1" applyAlignment="1" applyProtection="1">
      <alignment/>
      <protection/>
    </xf>
    <xf numFmtId="0" fontId="7" fillId="0" borderId="27" xfId="0" applyFont="1" applyBorder="1" applyAlignment="1">
      <alignment/>
    </xf>
    <xf numFmtId="0" fontId="7" fillId="0" borderId="31" xfId="0" applyFont="1" applyBorder="1" applyAlignment="1" applyProtection="1">
      <alignment/>
      <protection/>
    </xf>
    <xf numFmtId="0" fontId="46" fillId="0" borderId="18" xfId="0" applyFont="1" applyBorder="1" applyAlignment="1" applyProtection="1">
      <alignment/>
      <protection/>
    </xf>
    <xf numFmtId="0" fontId="46" fillId="0" borderId="27" xfId="0" applyFont="1" applyBorder="1" applyAlignment="1" applyProtection="1">
      <alignment/>
      <protection/>
    </xf>
    <xf numFmtId="0" fontId="5" fillId="0" borderId="0" xfId="0" applyFont="1" applyBorder="1" applyAlignment="1" applyProtection="1">
      <alignment/>
      <protection/>
    </xf>
    <xf numFmtId="0" fontId="6" fillId="0" borderId="31" xfId="0" applyFont="1" applyBorder="1" applyAlignment="1" applyProtection="1">
      <alignment/>
      <protection/>
    </xf>
    <xf numFmtId="1" fontId="5" fillId="0" borderId="54" xfId="0" applyNumberFormat="1" applyFont="1" applyFill="1" applyBorder="1" applyAlignment="1" applyProtection="1">
      <alignment/>
      <protection/>
    </xf>
    <xf numFmtId="0" fontId="28" fillId="37" borderId="0" xfId="0" applyFont="1" applyFill="1" applyBorder="1" applyAlignment="1" applyProtection="1">
      <alignment/>
      <protection/>
    </xf>
    <xf numFmtId="0" fontId="25" fillId="37" borderId="0" xfId="0" applyFont="1" applyFill="1" applyBorder="1" applyAlignment="1" applyProtection="1">
      <alignment/>
      <protection/>
    </xf>
    <xf numFmtId="0" fontId="26" fillId="37" borderId="27" xfId="0" applyFont="1" applyFill="1" applyBorder="1" applyAlignment="1" applyProtection="1">
      <alignment/>
      <protection/>
    </xf>
    <xf numFmtId="0" fontId="5" fillId="0" borderId="31" xfId="0" applyFont="1" applyBorder="1" applyAlignment="1" applyProtection="1">
      <alignment/>
      <protection/>
    </xf>
    <xf numFmtId="0" fontId="41" fillId="37" borderId="0" xfId="0" applyFont="1" applyFill="1" applyBorder="1" applyAlignment="1" applyProtection="1">
      <alignment/>
      <protection/>
    </xf>
    <xf numFmtId="0" fontId="6" fillId="37" borderId="31" xfId="0" applyFont="1" applyFill="1" applyBorder="1" applyAlignment="1" applyProtection="1">
      <alignment/>
      <protection/>
    </xf>
    <xf numFmtId="0" fontId="25" fillId="37" borderId="0" xfId="0" applyFont="1" applyFill="1" applyBorder="1" applyAlignment="1" applyProtection="1">
      <alignment/>
      <protection/>
    </xf>
    <xf numFmtId="0" fontId="28" fillId="37" borderId="0" xfId="0" applyFont="1" applyFill="1" applyBorder="1" applyAlignment="1" applyProtection="1">
      <alignment/>
      <protection/>
    </xf>
    <xf numFmtId="0" fontId="36" fillId="35" borderId="29" xfId="0" applyFont="1" applyFill="1" applyBorder="1" applyAlignment="1" applyProtection="1">
      <alignment horizontal="centerContinuous"/>
      <protection/>
    </xf>
    <xf numFmtId="0" fontId="19" fillId="0" borderId="31" xfId="0" applyFont="1" applyBorder="1" applyAlignment="1">
      <alignment horizontal="center"/>
    </xf>
    <xf numFmtId="170" fontId="5" fillId="0" borderId="39" xfId="0" applyNumberFormat="1" applyFont="1" applyBorder="1" applyAlignment="1" applyProtection="1">
      <alignment horizontal="center"/>
      <protection/>
    </xf>
    <xf numFmtId="2" fontId="5" fillId="0" borderId="13" xfId="0" applyNumberFormat="1" applyFont="1" applyFill="1" applyBorder="1" applyAlignment="1" applyProtection="1">
      <alignment horizontal="centerContinuous"/>
      <protection/>
    </xf>
    <xf numFmtId="2" fontId="5" fillId="0" borderId="13" xfId="0" applyNumberFormat="1" applyFont="1" applyBorder="1" applyAlignment="1" applyProtection="1">
      <alignment horizontal="centerContinuous"/>
      <protection/>
    </xf>
    <xf numFmtId="2" fontId="6" fillId="0" borderId="26" xfId="0" applyNumberFormat="1" applyFont="1" applyBorder="1" applyAlignment="1" applyProtection="1">
      <alignment horizontal="centerContinuous"/>
      <protection/>
    </xf>
    <xf numFmtId="1" fontId="31" fillId="0" borderId="10" xfId="0" applyNumberFormat="1" applyFont="1" applyFill="1" applyBorder="1" applyAlignment="1" applyProtection="1">
      <alignment horizontal="center"/>
      <protection/>
    </xf>
    <xf numFmtId="0" fontId="55" fillId="34" borderId="15" xfId="0" applyFont="1" applyFill="1" applyBorder="1" applyAlignment="1" applyProtection="1">
      <alignment/>
      <protection/>
    </xf>
    <xf numFmtId="0" fontId="55" fillId="34" borderId="31" xfId="0" applyFont="1" applyFill="1" applyBorder="1" applyAlignment="1" applyProtection="1">
      <alignment/>
      <protection/>
    </xf>
    <xf numFmtId="0" fontId="7" fillId="0" borderId="0" xfId="0" applyFont="1" applyAlignment="1" applyProtection="1">
      <alignment/>
      <protection/>
    </xf>
    <xf numFmtId="0" fontId="31" fillId="34" borderId="40" xfId="0" applyFont="1" applyFill="1" applyBorder="1" applyAlignment="1" applyProtection="1">
      <alignment/>
      <protection/>
    </xf>
    <xf numFmtId="0" fontId="31" fillId="34" borderId="53" xfId="0" applyFont="1" applyFill="1" applyBorder="1" applyAlignment="1" applyProtection="1">
      <alignment/>
      <protection/>
    </xf>
    <xf numFmtId="0" fontId="31" fillId="34" borderId="41" xfId="0" applyFont="1" applyFill="1" applyBorder="1" applyAlignment="1" applyProtection="1">
      <alignment/>
      <protection/>
    </xf>
    <xf numFmtId="0" fontId="31" fillId="34" borderId="41" xfId="0" applyFont="1" applyFill="1" applyBorder="1" applyAlignment="1" applyProtection="1">
      <alignment horizontal="center"/>
      <protection/>
    </xf>
    <xf numFmtId="0" fontId="31" fillId="34" borderId="16" xfId="0" applyFont="1" applyFill="1" applyBorder="1" applyAlignment="1" applyProtection="1">
      <alignment/>
      <protection/>
    </xf>
    <xf numFmtId="0" fontId="31" fillId="34" borderId="0" xfId="0" applyFont="1" applyFill="1" applyBorder="1" applyAlignment="1" applyProtection="1">
      <alignment/>
      <protection/>
    </xf>
    <xf numFmtId="3" fontId="31" fillId="34" borderId="13" xfId="0" applyNumberFormat="1" applyFont="1" applyFill="1" applyBorder="1" applyAlignment="1" applyProtection="1">
      <alignment horizontal="centerContinuous"/>
      <protection/>
    </xf>
    <xf numFmtId="0" fontId="31" fillId="34" borderId="28" xfId="0" applyFont="1" applyFill="1" applyBorder="1" applyAlignment="1" applyProtection="1">
      <alignment/>
      <protection/>
    </xf>
    <xf numFmtId="0" fontId="31" fillId="34" borderId="28" xfId="0" applyFont="1" applyFill="1" applyBorder="1" applyAlignment="1" applyProtection="1">
      <alignment horizontal="center"/>
      <protection/>
    </xf>
    <xf numFmtId="3" fontId="10" fillId="34" borderId="13" xfId="0" applyNumberFormat="1" applyFont="1" applyFill="1" applyBorder="1" applyAlignment="1" applyProtection="1">
      <alignment horizontal="centerContinuous"/>
      <protection/>
    </xf>
    <xf numFmtId="0" fontId="31" fillId="34" borderId="21" xfId="0" applyFont="1" applyFill="1" applyBorder="1" applyAlignment="1" applyProtection="1">
      <alignment/>
      <protection/>
    </xf>
    <xf numFmtId="172" fontId="31" fillId="34" borderId="28" xfId="51" applyNumberFormat="1" applyFont="1" applyFill="1" applyBorder="1" applyAlignment="1" applyProtection="1">
      <alignment horizontal="center"/>
      <protection/>
    </xf>
    <xf numFmtId="172" fontId="31" fillId="34" borderId="0" xfId="51" applyNumberFormat="1" applyFont="1" applyFill="1" applyBorder="1" applyAlignment="1" applyProtection="1">
      <alignment horizontal="centerContinuous"/>
      <protection/>
    </xf>
    <xf numFmtId="2" fontId="0" fillId="33" borderId="10" xfId="0" applyNumberFormat="1" applyFont="1" applyFill="1" applyBorder="1" applyAlignment="1" applyProtection="1">
      <alignment horizontal="center"/>
      <protection locked="0"/>
    </xf>
    <xf numFmtId="0" fontId="27" fillId="33" borderId="10" xfId="0" applyFont="1" applyFill="1" applyBorder="1" applyAlignment="1" applyProtection="1">
      <alignment horizontal="center"/>
      <protection locked="0"/>
    </xf>
    <xf numFmtId="0" fontId="1" fillId="33" borderId="10" xfId="0" applyFont="1" applyFill="1" applyBorder="1" applyAlignment="1" applyProtection="1">
      <alignment horizontal="center"/>
      <protection locked="0"/>
    </xf>
    <xf numFmtId="170" fontId="0" fillId="33" borderId="10" xfId="0" applyNumberFormat="1" applyFont="1" applyFill="1" applyBorder="1" applyAlignment="1" applyProtection="1">
      <alignment horizontal="center"/>
      <protection locked="0"/>
    </xf>
    <xf numFmtId="2" fontId="27" fillId="33" borderId="10" xfId="0" applyNumberFormat="1" applyFont="1" applyFill="1" applyBorder="1" applyAlignment="1" applyProtection="1">
      <alignment horizontal="center"/>
      <protection locked="0"/>
    </xf>
    <xf numFmtId="2" fontId="0" fillId="33" borderId="25" xfId="0" applyNumberFormat="1" applyFont="1" applyFill="1" applyBorder="1" applyAlignment="1" applyProtection="1">
      <alignment horizontal="center"/>
      <protection locked="0"/>
    </xf>
    <xf numFmtId="1" fontId="0" fillId="33" borderId="10" xfId="0" applyNumberFormat="1" applyFont="1" applyFill="1" applyBorder="1" applyAlignment="1" applyProtection="1">
      <alignment horizontal="center"/>
      <protection locked="0"/>
    </xf>
    <xf numFmtId="0" fontId="0" fillId="33" borderId="25" xfId="0" applyFont="1" applyFill="1" applyBorder="1" applyAlignment="1" applyProtection="1">
      <alignment horizontal="center"/>
      <protection locked="0"/>
    </xf>
    <xf numFmtId="1" fontId="27" fillId="33" borderId="10" xfId="0" applyNumberFormat="1" applyFont="1" applyFill="1" applyBorder="1" applyAlignment="1" applyProtection="1">
      <alignment horizontal="center"/>
      <protection locked="0"/>
    </xf>
    <xf numFmtId="0" fontId="0" fillId="33" borderId="10" xfId="0" applyFont="1" applyFill="1" applyBorder="1" applyAlignment="1" applyProtection="1">
      <alignment horizontal="center"/>
      <protection locked="0"/>
    </xf>
    <xf numFmtId="2" fontId="56" fillId="33" borderId="21" xfId="0" applyNumberFormat="1" applyFont="1" applyFill="1" applyBorder="1" applyAlignment="1" applyProtection="1">
      <alignment horizontal="center"/>
      <protection locked="0"/>
    </xf>
    <xf numFmtId="0" fontId="0" fillId="38" borderId="0" xfId="0" applyFont="1" applyFill="1" applyBorder="1" applyAlignment="1" applyProtection="1">
      <alignment/>
      <protection/>
    </xf>
    <xf numFmtId="0" fontId="0" fillId="38" borderId="16" xfId="0" applyFont="1" applyFill="1" applyBorder="1" applyAlignment="1" applyProtection="1">
      <alignment/>
      <protection/>
    </xf>
    <xf numFmtId="0" fontId="0" fillId="38" borderId="0" xfId="0" applyFont="1" applyFill="1" applyBorder="1" applyAlignment="1" applyProtection="1">
      <alignment/>
      <protection/>
    </xf>
    <xf numFmtId="0" fontId="0" fillId="38" borderId="15" xfId="0" applyFont="1" applyFill="1" applyBorder="1" applyAlignment="1" applyProtection="1">
      <alignment/>
      <protection/>
    </xf>
    <xf numFmtId="0" fontId="0" fillId="38" borderId="31" xfId="0" applyFont="1" applyFill="1" applyBorder="1" applyAlignment="1" applyProtection="1">
      <alignment/>
      <protection/>
    </xf>
    <xf numFmtId="0" fontId="0" fillId="38" borderId="27" xfId="0" applyFont="1" applyFill="1" applyBorder="1" applyAlignment="1" applyProtection="1">
      <alignment/>
      <protection/>
    </xf>
    <xf numFmtId="0" fontId="0" fillId="38" borderId="13" xfId="0" applyFont="1" applyFill="1" applyBorder="1" applyAlignment="1" applyProtection="1">
      <alignment/>
      <protection/>
    </xf>
    <xf numFmtId="0" fontId="0" fillId="38" borderId="26" xfId="0" applyFont="1" applyFill="1" applyBorder="1" applyAlignment="1" applyProtection="1">
      <alignment/>
      <protection/>
    </xf>
    <xf numFmtId="0" fontId="0" fillId="38" borderId="12" xfId="0" applyFont="1" applyFill="1" applyBorder="1" applyAlignment="1" applyProtection="1">
      <alignment/>
      <protection/>
    </xf>
    <xf numFmtId="0" fontId="0" fillId="38" borderId="14" xfId="0" applyFont="1" applyFill="1" applyBorder="1" applyAlignment="1" applyProtection="1">
      <alignment/>
      <protection/>
    </xf>
    <xf numFmtId="0" fontId="55" fillId="0" borderId="0" xfId="0" applyFont="1" applyAlignment="1" applyProtection="1">
      <alignment horizontal="left" vertical="center"/>
      <protection/>
    </xf>
    <xf numFmtId="14" fontId="55" fillId="0" borderId="22" xfId="0" applyNumberFormat="1" applyFont="1" applyFill="1" applyBorder="1" applyAlignment="1" applyProtection="1">
      <alignment horizontal="center" vertical="center"/>
      <protection/>
    </xf>
    <xf numFmtId="0" fontId="55" fillId="0" borderId="0" xfId="0" applyFont="1" applyAlignment="1" applyProtection="1">
      <alignment horizontal="right" vertical="center"/>
      <protection/>
    </xf>
    <xf numFmtId="0" fontId="61" fillId="0" borderId="0" xfId="0" applyFont="1" applyAlignment="1" applyProtection="1">
      <alignment/>
      <protection/>
    </xf>
    <xf numFmtId="0" fontId="28" fillId="35" borderId="33" xfId="0" applyFont="1" applyFill="1" applyBorder="1" applyAlignment="1" applyProtection="1">
      <alignment horizontal="centerContinuous"/>
      <protection/>
    </xf>
    <xf numFmtId="1" fontId="27" fillId="33" borderId="25" xfId="0" applyNumberFormat="1" applyFont="1" applyFill="1" applyBorder="1" applyAlignment="1" applyProtection="1">
      <alignment horizontal="center"/>
      <protection locked="0"/>
    </xf>
    <xf numFmtId="170" fontId="27" fillId="33" borderId="10" xfId="0" applyNumberFormat="1" applyFont="1" applyFill="1" applyBorder="1" applyAlignment="1" applyProtection="1">
      <alignment horizontal="center"/>
      <protection locked="0"/>
    </xf>
    <xf numFmtId="0" fontId="27" fillId="33" borderId="23" xfId="0" applyFont="1" applyFill="1" applyBorder="1" applyAlignment="1" applyProtection="1">
      <alignment horizontal="center"/>
      <protection locked="0"/>
    </xf>
    <xf numFmtId="170" fontId="57" fillId="0" borderId="0" xfId="0" applyNumberFormat="1" applyFont="1" applyFill="1" applyBorder="1" applyAlignment="1" applyProtection="1">
      <alignment horizontal="center"/>
      <protection/>
    </xf>
    <xf numFmtId="0" fontId="27" fillId="0" borderId="0" xfId="0" applyFont="1" applyBorder="1" applyAlignment="1" applyProtection="1">
      <alignment vertical="center"/>
      <protection/>
    </xf>
    <xf numFmtId="1" fontId="57" fillId="0" borderId="0" xfId="0" applyNumberFormat="1" applyFont="1" applyFill="1" applyBorder="1" applyAlignment="1" applyProtection="1">
      <alignment horizontal="center"/>
      <protection/>
    </xf>
    <xf numFmtId="0" fontId="4" fillId="0" borderId="0" xfId="0" applyFont="1" applyFill="1" applyBorder="1" applyAlignment="1">
      <alignment vertical="center"/>
    </xf>
    <xf numFmtId="0" fontId="52" fillId="0" borderId="0" xfId="0" applyFont="1" applyBorder="1" applyAlignment="1" applyProtection="1">
      <alignment vertical="center"/>
      <protection/>
    </xf>
    <xf numFmtId="0" fontId="52" fillId="0" borderId="0" xfId="0" applyFont="1" applyBorder="1" applyAlignment="1" applyProtection="1">
      <alignment horizontal="centerContinuous" vertical="center"/>
      <protection/>
    </xf>
    <xf numFmtId="170" fontId="47" fillId="38" borderId="19" xfId="0" applyNumberFormat="1" applyFont="1" applyFill="1" applyBorder="1" applyAlignment="1" applyProtection="1">
      <alignment horizontal="center"/>
      <protection/>
    </xf>
    <xf numFmtId="0" fontId="61" fillId="38" borderId="18" xfId="0" applyFont="1" applyFill="1" applyBorder="1" applyAlignment="1" applyProtection="1">
      <alignment/>
      <protection/>
    </xf>
    <xf numFmtId="0" fontId="61" fillId="38" borderId="17" xfId="0" applyFont="1" applyFill="1" applyBorder="1" applyAlignment="1" applyProtection="1">
      <alignment/>
      <protection/>
    </xf>
    <xf numFmtId="0" fontId="47" fillId="38" borderId="21" xfId="0" applyFont="1" applyFill="1" applyBorder="1" applyAlignment="1" applyProtection="1">
      <alignment horizontal="center" vertical="center"/>
      <protection/>
    </xf>
    <xf numFmtId="0" fontId="55" fillId="38" borderId="40" xfId="0" applyFont="1" applyFill="1" applyBorder="1" applyAlignment="1" applyProtection="1">
      <alignment vertical="center"/>
      <protection/>
    </xf>
    <xf numFmtId="0" fontId="55" fillId="38" borderId="53" xfId="0" applyFont="1" applyFill="1" applyBorder="1" applyAlignment="1" applyProtection="1">
      <alignment vertical="center"/>
      <protection/>
    </xf>
    <xf numFmtId="0" fontId="55" fillId="38" borderId="41" xfId="0" applyFont="1" applyFill="1" applyBorder="1" applyAlignment="1" applyProtection="1">
      <alignment horizontal="center" vertical="center"/>
      <protection/>
    </xf>
    <xf numFmtId="1" fontId="55" fillId="38" borderId="41" xfId="0" applyNumberFormat="1" applyFont="1" applyFill="1" applyBorder="1" applyAlignment="1" applyProtection="1">
      <alignment horizontal="center" vertical="center"/>
      <protection/>
    </xf>
    <xf numFmtId="1" fontId="55" fillId="38" borderId="41" xfId="0" applyNumberFormat="1" applyFont="1" applyFill="1" applyBorder="1" applyAlignment="1" applyProtection="1">
      <alignment horizontal="centerContinuous" vertical="center"/>
      <protection/>
    </xf>
    <xf numFmtId="1" fontId="55" fillId="38" borderId="53" xfId="0" applyNumberFormat="1" applyFont="1" applyFill="1" applyBorder="1" applyAlignment="1" applyProtection="1">
      <alignment horizontal="centerContinuous" vertical="center"/>
      <protection/>
    </xf>
    <xf numFmtId="0" fontId="55" fillId="38" borderId="42" xfId="0" applyFont="1" applyFill="1" applyBorder="1" applyAlignment="1" applyProtection="1">
      <alignment horizontal="centerContinuous" vertical="center"/>
      <protection/>
    </xf>
    <xf numFmtId="0" fontId="30" fillId="38" borderId="20" xfId="0" applyFont="1" applyFill="1" applyBorder="1" applyAlignment="1" applyProtection="1">
      <alignment/>
      <protection/>
    </xf>
    <xf numFmtId="0" fontId="30" fillId="38" borderId="19" xfId="0" applyFont="1" applyFill="1" applyBorder="1" applyAlignment="1" applyProtection="1">
      <alignment horizontal="center"/>
      <protection/>
    </xf>
    <xf numFmtId="3" fontId="30" fillId="38" borderId="19" xfId="0" applyNumberFormat="1" applyFont="1" applyFill="1" applyBorder="1" applyAlignment="1" applyProtection="1">
      <alignment horizontal="center"/>
      <protection/>
    </xf>
    <xf numFmtId="1" fontId="30" fillId="38" borderId="19" xfId="0" applyNumberFormat="1" applyFont="1" applyFill="1" applyBorder="1" applyAlignment="1" applyProtection="1">
      <alignment horizontal="center"/>
      <protection/>
    </xf>
    <xf numFmtId="3" fontId="30" fillId="38" borderId="18" xfId="0" applyNumberFormat="1" applyFont="1" applyFill="1" applyBorder="1" applyAlignment="1" applyProtection="1">
      <alignment horizontal="centerContinuous"/>
      <protection/>
    </xf>
    <xf numFmtId="3" fontId="30" fillId="38" borderId="12" xfId="0" applyNumberFormat="1" applyFont="1" applyFill="1" applyBorder="1" applyAlignment="1" applyProtection="1">
      <alignment horizontal="centerContinuous"/>
      <protection/>
    </xf>
    <xf numFmtId="0" fontId="30" fillId="38" borderId="15" xfId="0" applyFont="1" applyFill="1" applyBorder="1" applyAlignment="1" applyProtection="1">
      <alignment/>
      <protection/>
    </xf>
    <xf numFmtId="0" fontId="30" fillId="38" borderId="31" xfId="0" applyFont="1" applyFill="1" applyBorder="1" applyAlignment="1" applyProtection="1">
      <alignment/>
      <protection/>
    </xf>
    <xf numFmtId="0" fontId="30" fillId="38" borderId="24" xfId="0" applyFont="1" applyFill="1" applyBorder="1" applyAlignment="1" applyProtection="1">
      <alignment/>
      <protection/>
    </xf>
    <xf numFmtId="0" fontId="30" fillId="38" borderId="24" xfId="0" applyFont="1" applyFill="1" applyBorder="1" applyAlignment="1" applyProtection="1">
      <alignment horizontal="center"/>
      <protection/>
    </xf>
    <xf numFmtId="3" fontId="30" fillId="38" borderId="24" xfId="0" applyNumberFormat="1" applyFont="1" applyFill="1" applyBorder="1" applyAlignment="1" applyProtection="1">
      <alignment horizontal="center"/>
      <protection/>
    </xf>
    <xf numFmtId="1" fontId="30" fillId="38" borderId="24" xfId="0" applyNumberFormat="1" applyFont="1" applyFill="1" applyBorder="1" applyAlignment="1" applyProtection="1">
      <alignment horizontal="center"/>
      <protection/>
    </xf>
    <xf numFmtId="3" fontId="30" fillId="38" borderId="31" xfId="0" applyNumberFormat="1" applyFont="1" applyFill="1" applyBorder="1" applyAlignment="1" applyProtection="1">
      <alignment horizontal="centerContinuous"/>
      <protection/>
    </xf>
    <xf numFmtId="3" fontId="30" fillId="38" borderId="26" xfId="0" applyNumberFormat="1" applyFont="1" applyFill="1" applyBorder="1" applyAlignment="1" applyProtection="1">
      <alignment horizontal="centerContinuous"/>
      <protection/>
    </xf>
    <xf numFmtId="0" fontId="10" fillId="35" borderId="28" xfId="0" applyFont="1" applyFill="1" applyBorder="1" applyAlignment="1" applyProtection="1">
      <alignment horizontal="center" vertical="center"/>
      <protection/>
    </xf>
    <xf numFmtId="9" fontId="10" fillId="35" borderId="28" xfId="51" applyFont="1" applyFill="1" applyBorder="1" applyAlignment="1" applyProtection="1">
      <alignment horizontal="center" vertical="center"/>
      <protection/>
    </xf>
    <xf numFmtId="0" fontId="31" fillId="35" borderId="16" xfId="0" applyFont="1" applyFill="1" applyBorder="1" applyAlignment="1" applyProtection="1">
      <alignment/>
      <protection/>
    </xf>
    <xf numFmtId="0" fontId="31" fillId="35" borderId="0" xfId="0" applyFont="1" applyFill="1" applyBorder="1" applyAlignment="1" applyProtection="1">
      <alignment/>
      <protection/>
    </xf>
    <xf numFmtId="0" fontId="31" fillId="35" borderId="15" xfId="0" applyFont="1" applyFill="1" applyBorder="1" applyAlignment="1" applyProtection="1">
      <alignment/>
      <protection/>
    </xf>
    <xf numFmtId="0" fontId="31" fillId="35" borderId="31" xfId="0" applyFont="1" applyFill="1" applyBorder="1" applyAlignment="1" applyProtection="1">
      <alignment/>
      <protection/>
    </xf>
    <xf numFmtId="0" fontId="10" fillId="35" borderId="24" xfId="0" applyFont="1" applyFill="1" applyBorder="1" applyAlignment="1" applyProtection="1">
      <alignment horizontal="center"/>
      <protection/>
    </xf>
    <xf numFmtId="3" fontId="31" fillId="35" borderId="26" xfId="0" applyNumberFormat="1" applyFont="1" applyFill="1" applyBorder="1" applyAlignment="1" applyProtection="1">
      <alignment horizontal="centerContinuous"/>
      <protection/>
    </xf>
    <xf numFmtId="0" fontId="31" fillId="35" borderId="24" xfId="0" applyFont="1" applyFill="1" applyBorder="1" applyAlignment="1" applyProtection="1">
      <alignment/>
      <protection/>
    </xf>
    <xf numFmtId="0" fontId="31" fillId="35" borderId="28" xfId="0" applyFont="1" applyFill="1" applyBorder="1" applyAlignment="1" applyProtection="1">
      <alignment/>
      <protection/>
    </xf>
    <xf numFmtId="0" fontId="31" fillId="35" borderId="28" xfId="0" applyFont="1" applyFill="1" applyBorder="1" applyAlignment="1" applyProtection="1">
      <alignment horizontal="center"/>
      <protection/>
    </xf>
    <xf numFmtId="0" fontId="31" fillId="35" borderId="24" xfId="0" applyFont="1" applyFill="1" applyBorder="1" applyAlignment="1" applyProtection="1">
      <alignment/>
      <protection/>
    </xf>
    <xf numFmtId="0" fontId="31" fillId="35" borderId="24" xfId="0" applyFont="1" applyFill="1" applyBorder="1" applyAlignment="1" applyProtection="1">
      <alignment horizontal="center"/>
      <protection/>
    </xf>
    <xf numFmtId="0" fontId="31" fillId="38" borderId="16" xfId="0" applyFont="1" applyFill="1" applyBorder="1" applyAlignment="1" applyProtection="1">
      <alignment/>
      <protection/>
    </xf>
    <xf numFmtId="0" fontId="31" fillId="38" borderId="0" xfId="0" applyFont="1" applyFill="1" applyBorder="1" applyAlignment="1" applyProtection="1">
      <alignment/>
      <protection/>
    </xf>
    <xf numFmtId="0" fontId="31" fillId="38" borderId="28" xfId="0" applyFont="1" applyFill="1" applyBorder="1" applyAlignment="1" applyProtection="1">
      <alignment/>
      <protection/>
    </xf>
    <xf numFmtId="0" fontId="31" fillId="38" borderId="28" xfId="0" applyFont="1" applyFill="1" applyBorder="1" applyAlignment="1" applyProtection="1">
      <alignment horizontal="center"/>
      <protection/>
    </xf>
    <xf numFmtId="3" fontId="31" fillId="38" borderId="11" xfId="0" applyNumberFormat="1" applyFont="1" applyFill="1" applyBorder="1" applyAlignment="1" applyProtection="1">
      <alignment horizontal="center"/>
      <protection/>
    </xf>
    <xf numFmtId="3" fontId="31" fillId="38" borderId="41" xfId="0" applyNumberFormat="1" applyFont="1" applyFill="1" applyBorder="1" applyAlignment="1" applyProtection="1">
      <alignment horizontal="center"/>
      <protection/>
    </xf>
    <xf numFmtId="0" fontId="31" fillId="38" borderId="27" xfId="0" applyFont="1" applyFill="1" applyBorder="1" applyAlignment="1" applyProtection="1">
      <alignment/>
      <protection/>
    </xf>
    <xf numFmtId="0" fontId="11" fillId="38" borderId="20" xfId="0" applyFont="1" applyFill="1" applyBorder="1" applyAlignment="1" applyProtection="1">
      <alignment horizontal="left"/>
      <protection/>
    </xf>
    <xf numFmtId="0" fontId="7" fillId="38" borderId="18" xfId="0" applyFont="1" applyFill="1" applyBorder="1" applyAlignment="1" applyProtection="1">
      <alignment horizontal="left"/>
      <protection/>
    </xf>
    <xf numFmtId="0" fontId="11" fillId="38" borderId="33" xfId="0" applyFont="1" applyFill="1" applyBorder="1" applyAlignment="1" applyProtection="1">
      <alignment horizontal="centerContinuous" vertical="center"/>
      <protection/>
    </xf>
    <xf numFmtId="0" fontId="13" fillId="38" borderId="29" xfId="0" applyFont="1" applyFill="1" applyBorder="1" applyAlignment="1" applyProtection="1">
      <alignment horizontal="centerContinuous" vertical="center"/>
      <protection/>
    </xf>
    <xf numFmtId="0" fontId="8" fillId="38" borderId="29" xfId="0" applyFont="1" applyFill="1" applyBorder="1" applyAlignment="1" applyProtection="1">
      <alignment horizontal="centerContinuous" vertical="center"/>
      <protection/>
    </xf>
    <xf numFmtId="0" fontId="8" fillId="38" borderId="30" xfId="0" applyFont="1" applyFill="1" applyBorder="1" applyAlignment="1" applyProtection="1">
      <alignment horizontal="centerContinuous"/>
      <protection/>
    </xf>
    <xf numFmtId="0" fontId="7" fillId="38" borderId="17" xfId="0" applyFont="1" applyFill="1" applyBorder="1" applyAlignment="1" applyProtection="1">
      <alignment/>
      <protection/>
    </xf>
    <xf numFmtId="0" fontId="7" fillId="38" borderId="21" xfId="0" applyFont="1" applyFill="1" applyBorder="1" applyAlignment="1" applyProtection="1">
      <alignment horizontal="center"/>
      <protection/>
    </xf>
    <xf numFmtId="0" fontId="4" fillId="38" borderId="16" xfId="0" applyFont="1" applyFill="1" applyBorder="1" applyAlignment="1" applyProtection="1">
      <alignment/>
      <protection/>
    </xf>
    <xf numFmtId="0" fontId="4" fillId="38" borderId="0" xfId="0" applyFont="1" applyFill="1" applyBorder="1" applyAlignment="1" applyProtection="1">
      <alignment/>
      <protection/>
    </xf>
    <xf numFmtId="0" fontId="4" fillId="38" borderId="28" xfId="0" applyFont="1" applyFill="1" applyBorder="1" applyAlignment="1" applyProtection="1">
      <alignment/>
      <protection/>
    </xf>
    <xf numFmtId="0" fontId="4" fillId="38" borderId="28" xfId="0" applyFont="1" applyFill="1" applyBorder="1" applyAlignment="1" applyProtection="1">
      <alignment horizontal="center"/>
      <protection/>
    </xf>
    <xf numFmtId="170" fontId="4" fillId="38" borderId="28" xfId="0" applyNumberFormat="1" applyFont="1" applyFill="1" applyBorder="1" applyAlignment="1" applyProtection="1">
      <alignment horizontal="center"/>
      <protection/>
    </xf>
    <xf numFmtId="170" fontId="4" fillId="38" borderId="0" xfId="0" applyNumberFormat="1" applyFont="1" applyFill="1" applyBorder="1" applyAlignment="1" applyProtection="1">
      <alignment horizontal="centerContinuous"/>
      <protection/>
    </xf>
    <xf numFmtId="170" fontId="4" fillId="38" borderId="13" xfId="0" applyNumberFormat="1" applyFont="1" applyFill="1" applyBorder="1" applyAlignment="1" applyProtection="1">
      <alignment horizontal="centerContinuous"/>
      <protection/>
    </xf>
    <xf numFmtId="1" fontId="4" fillId="38" borderId="28" xfId="0" applyNumberFormat="1" applyFont="1" applyFill="1" applyBorder="1" applyAlignment="1" applyProtection="1">
      <alignment horizontal="center"/>
      <protection/>
    </xf>
    <xf numFmtId="3" fontId="4" fillId="38" borderId="0" xfId="0" applyNumberFormat="1" applyFont="1" applyFill="1" applyBorder="1" applyAlignment="1" applyProtection="1">
      <alignment horizontal="centerContinuous"/>
      <protection/>
    </xf>
    <xf numFmtId="3" fontId="4" fillId="38" borderId="13" xfId="0" applyNumberFormat="1" applyFont="1" applyFill="1" applyBorder="1" applyAlignment="1" applyProtection="1">
      <alignment horizontal="centerContinuous" vertical="center"/>
      <protection/>
    </xf>
    <xf numFmtId="3" fontId="4" fillId="38" borderId="28" xfId="0" applyNumberFormat="1" applyFont="1" applyFill="1" applyBorder="1" applyAlignment="1" applyProtection="1">
      <alignment horizontal="center"/>
      <protection/>
    </xf>
    <xf numFmtId="1" fontId="4" fillId="38" borderId="0" xfId="0" applyNumberFormat="1" applyFont="1" applyFill="1" applyBorder="1" applyAlignment="1" applyProtection="1">
      <alignment horizontal="centerContinuous"/>
      <protection/>
    </xf>
    <xf numFmtId="1" fontId="4" fillId="38" borderId="13" xfId="0" applyNumberFormat="1" applyFont="1" applyFill="1" applyBorder="1" applyAlignment="1" applyProtection="1">
      <alignment horizontal="centerContinuous" vertical="center"/>
      <protection/>
    </xf>
    <xf numFmtId="1" fontId="4" fillId="38" borderId="13" xfId="0" applyNumberFormat="1" applyFont="1" applyFill="1" applyBorder="1" applyAlignment="1" applyProtection="1">
      <alignment horizontal="centerContinuous"/>
      <protection/>
    </xf>
    <xf numFmtId="0" fontId="52" fillId="38" borderId="15" xfId="0" applyFont="1" applyFill="1" applyBorder="1" applyAlignment="1" applyProtection="1">
      <alignment/>
      <protection/>
    </xf>
    <xf numFmtId="0" fontId="52" fillId="38" borderId="31" xfId="0" applyFont="1" applyFill="1" applyBorder="1" applyAlignment="1" applyProtection="1">
      <alignment/>
      <protection/>
    </xf>
    <xf numFmtId="0" fontId="52" fillId="38" borderId="24" xfId="0" applyFont="1" applyFill="1" applyBorder="1" applyAlignment="1" applyProtection="1">
      <alignment/>
      <protection/>
    </xf>
    <xf numFmtId="0" fontId="52" fillId="38" borderId="24" xfId="0" applyFont="1" applyFill="1" applyBorder="1" applyAlignment="1" applyProtection="1">
      <alignment horizontal="center"/>
      <protection/>
    </xf>
    <xf numFmtId="3" fontId="52" fillId="38" borderId="24" xfId="0" applyNumberFormat="1" applyFont="1" applyFill="1" applyBorder="1" applyAlignment="1" applyProtection="1">
      <alignment horizontal="center"/>
      <protection/>
    </xf>
    <xf numFmtId="3" fontId="52" fillId="38" borderId="24" xfId="0" applyNumberFormat="1" applyFont="1" applyFill="1" applyBorder="1" applyAlignment="1" applyProtection="1">
      <alignment horizontal="centerContinuous"/>
      <protection/>
    </xf>
    <xf numFmtId="3" fontId="52" fillId="38" borderId="26" xfId="0" applyNumberFormat="1" applyFont="1" applyFill="1" applyBorder="1" applyAlignment="1" applyProtection="1">
      <alignment horizontal="centerContinuous"/>
      <protection/>
    </xf>
    <xf numFmtId="0" fontId="52" fillId="38" borderId="16" xfId="0" applyFont="1" applyFill="1" applyBorder="1" applyAlignment="1" applyProtection="1">
      <alignment/>
      <protection/>
    </xf>
    <xf numFmtId="0" fontId="52" fillId="38" borderId="0" xfId="0" applyFont="1" applyFill="1" applyBorder="1" applyAlignment="1" applyProtection="1">
      <alignment/>
      <protection/>
    </xf>
    <xf numFmtId="0" fontId="52" fillId="38" borderId="28" xfId="0" applyFont="1" applyFill="1" applyBorder="1" applyAlignment="1" applyProtection="1">
      <alignment horizontal="center"/>
      <protection/>
    </xf>
    <xf numFmtId="3" fontId="52" fillId="38" borderId="28" xfId="0" applyNumberFormat="1" applyFont="1" applyFill="1" applyBorder="1" applyAlignment="1" applyProtection="1">
      <alignment horizontal="center" vertical="center"/>
      <protection/>
    </xf>
    <xf numFmtId="3" fontId="52" fillId="38" borderId="0" xfId="0" applyNumberFormat="1" applyFont="1" applyFill="1" applyBorder="1" applyAlignment="1" applyProtection="1">
      <alignment horizontal="centerContinuous" vertical="center"/>
      <protection/>
    </xf>
    <xf numFmtId="3" fontId="52" fillId="38" borderId="13" xfId="0" applyNumberFormat="1" applyFont="1" applyFill="1" applyBorder="1" applyAlignment="1" applyProtection="1">
      <alignment horizontal="centerContinuous" vertical="center"/>
      <protection/>
    </xf>
    <xf numFmtId="0" fontId="4" fillId="38" borderId="15" xfId="0" applyFont="1" applyFill="1" applyBorder="1" applyAlignment="1" applyProtection="1">
      <alignment/>
      <protection/>
    </xf>
    <xf numFmtId="0" fontId="4" fillId="38" borderId="31" xfId="0" applyFont="1" applyFill="1" applyBorder="1" applyAlignment="1" applyProtection="1">
      <alignment/>
      <protection/>
    </xf>
    <xf numFmtId="0" fontId="4" fillId="38" borderId="24" xfId="0" applyFont="1" applyFill="1" applyBorder="1" applyAlignment="1" applyProtection="1">
      <alignment/>
      <protection/>
    </xf>
    <xf numFmtId="0" fontId="4" fillId="38" borderId="24" xfId="0" applyFont="1" applyFill="1" applyBorder="1" applyAlignment="1" applyProtection="1">
      <alignment horizontal="center"/>
      <protection/>
    </xf>
    <xf numFmtId="3" fontId="4" fillId="38" borderId="24" xfId="0" applyNumberFormat="1" applyFont="1" applyFill="1" applyBorder="1" applyAlignment="1" applyProtection="1">
      <alignment horizontal="center"/>
      <protection/>
    </xf>
    <xf numFmtId="3" fontId="4" fillId="38" borderId="31" xfId="0" applyNumberFormat="1" applyFont="1" applyFill="1" applyBorder="1" applyAlignment="1" applyProtection="1">
      <alignment horizontal="centerContinuous"/>
      <protection/>
    </xf>
    <xf numFmtId="3" fontId="4" fillId="38" borderId="26" xfId="0" applyNumberFormat="1" applyFont="1" applyFill="1" applyBorder="1" applyAlignment="1" applyProtection="1">
      <alignment horizontal="centerContinuous"/>
      <protection/>
    </xf>
    <xf numFmtId="0" fontId="30" fillId="38" borderId="55" xfId="0" applyFont="1" applyFill="1" applyBorder="1" applyAlignment="1" applyProtection="1">
      <alignment/>
      <protection/>
    </xf>
    <xf numFmtId="0" fontId="30" fillId="38" borderId="56" xfId="0" applyFont="1" applyFill="1" applyBorder="1" applyAlignment="1" applyProtection="1">
      <alignment horizontal="center"/>
      <protection/>
    </xf>
    <xf numFmtId="3" fontId="30" fillId="38" borderId="56" xfId="0" applyNumberFormat="1" applyFont="1" applyFill="1" applyBorder="1" applyAlignment="1" applyProtection="1">
      <alignment horizontal="center"/>
      <protection/>
    </xf>
    <xf numFmtId="3" fontId="30" fillId="38" borderId="57" xfId="0" applyNumberFormat="1" applyFont="1" applyFill="1" applyBorder="1" applyAlignment="1" applyProtection="1">
      <alignment horizontal="centerContinuous"/>
      <protection/>
    </xf>
    <xf numFmtId="3" fontId="30" fillId="38" borderId="58" xfId="0" applyNumberFormat="1" applyFont="1" applyFill="1" applyBorder="1" applyAlignment="1" applyProtection="1">
      <alignment horizontal="centerContinuous"/>
      <protection/>
    </xf>
    <xf numFmtId="0" fontId="31" fillId="38" borderId="18" xfId="0" applyFont="1" applyFill="1" applyBorder="1" applyAlignment="1" applyProtection="1">
      <alignment/>
      <protection/>
    </xf>
    <xf numFmtId="0" fontId="31" fillId="38" borderId="32" xfId="0" applyFont="1" applyFill="1" applyBorder="1" applyAlignment="1" applyProtection="1">
      <alignment horizontal="center"/>
      <protection/>
    </xf>
    <xf numFmtId="0" fontId="31" fillId="38" borderId="23" xfId="0" applyFont="1" applyFill="1" applyBorder="1" applyAlignment="1" applyProtection="1">
      <alignment horizontal="center"/>
      <protection/>
    </xf>
    <xf numFmtId="170" fontId="11" fillId="39" borderId="36" xfId="0" applyNumberFormat="1" applyFont="1" applyFill="1" applyBorder="1" applyAlignment="1" applyProtection="1">
      <alignment horizontal="center"/>
      <protection locked="0"/>
    </xf>
    <xf numFmtId="170" fontId="11" fillId="39" borderId="21" xfId="0" applyNumberFormat="1" applyFont="1" applyFill="1" applyBorder="1" applyAlignment="1" applyProtection="1">
      <alignment horizontal="center"/>
      <protection locked="0"/>
    </xf>
    <xf numFmtId="0" fontId="27" fillId="38" borderId="16" xfId="0" applyFont="1" applyFill="1" applyBorder="1" applyAlignment="1" applyProtection="1">
      <alignment/>
      <protection/>
    </xf>
    <xf numFmtId="0" fontId="27" fillId="38" borderId="0" xfId="0" applyFont="1" applyFill="1" applyBorder="1" applyAlignment="1" applyProtection="1">
      <alignment/>
      <protection/>
    </xf>
    <xf numFmtId="0" fontId="27" fillId="38" borderId="16" xfId="0" applyFont="1" applyFill="1" applyBorder="1" applyAlignment="1">
      <alignment/>
    </xf>
    <xf numFmtId="0" fontId="27" fillId="38" borderId="0" xfId="0" applyFont="1" applyFill="1" applyBorder="1" applyAlignment="1">
      <alignment/>
    </xf>
    <xf numFmtId="0" fontId="27" fillId="38" borderId="15" xfId="0" applyFont="1" applyFill="1" applyBorder="1" applyAlignment="1">
      <alignment/>
    </xf>
    <xf numFmtId="0" fontId="27" fillId="38" borderId="31" xfId="0" applyFont="1" applyFill="1" applyBorder="1" applyAlignment="1">
      <alignment/>
    </xf>
    <xf numFmtId="20" fontId="27" fillId="38" borderId="28" xfId="0" applyNumberFormat="1" applyFont="1" applyFill="1" applyBorder="1" applyAlignment="1" applyProtection="1">
      <alignment horizontal="right"/>
      <protection/>
    </xf>
    <xf numFmtId="0" fontId="27" fillId="38" borderId="15" xfId="0" applyFont="1" applyFill="1" applyBorder="1" applyAlignment="1" applyProtection="1">
      <alignment/>
      <protection/>
    </xf>
    <xf numFmtId="0" fontId="27" fillId="38" borderId="31" xfId="0" applyFont="1" applyFill="1" applyBorder="1" applyAlignment="1" applyProtection="1">
      <alignment/>
      <protection/>
    </xf>
    <xf numFmtId="0" fontId="27" fillId="38" borderId="17" xfId="0" applyFont="1" applyFill="1" applyBorder="1" applyAlignment="1" applyProtection="1">
      <alignment/>
      <protection/>
    </xf>
    <xf numFmtId="0" fontId="27" fillId="38" borderId="27" xfId="0" applyFont="1" applyFill="1" applyBorder="1" applyAlignment="1" applyProtection="1">
      <alignment/>
      <protection/>
    </xf>
    <xf numFmtId="0" fontId="27" fillId="38" borderId="13" xfId="0" applyFont="1" applyFill="1" applyBorder="1" applyAlignment="1" applyProtection="1">
      <alignment/>
      <protection/>
    </xf>
    <xf numFmtId="0" fontId="27" fillId="38" borderId="26" xfId="0" applyFont="1" applyFill="1" applyBorder="1" applyAlignment="1">
      <alignment/>
    </xf>
    <xf numFmtId="0" fontId="27" fillId="38" borderId="26" xfId="0" applyFont="1" applyFill="1" applyBorder="1" applyAlignment="1" applyProtection="1">
      <alignment/>
      <protection/>
    </xf>
    <xf numFmtId="0" fontId="27" fillId="38" borderId="14" xfId="0" applyFont="1" applyFill="1" applyBorder="1" applyAlignment="1" applyProtection="1">
      <alignment/>
      <protection/>
    </xf>
    <xf numFmtId="0" fontId="27" fillId="38" borderId="45" xfId="0" applyFont="1" applyFill="1" applyBorder="1" applyAlignment="1" applyProtection="1">
      <alignment/>
      <protection/>
    </xf>
    <xf numFmtId="0" fontId="27" fillId="38" borderId="24" xfId="0" applyFont="1" applyFill="1" applyBorder="1" applyAlignment="1" applyProtection="1">
      <alignment/>
      <protection/>
    </xf>
    <xf numFmtId="0" fontId="27" fillId="38" borderId="28" xfId="0" applyFont="1" applyFill="1" applyBorder="1" applyAlignment="1" applyProtection="1">
      <alignment/>
      <protection/>
    </xf>
    <xf numFmtId="2" fontId="57" fillId="38" borderId="10" xfId="0" applyNumberFormat="1" applyFont="1" applyFill="1" applyBorder="1" applyAlignment="1" applyProtection="1">
      <alignment horizontal="center"/>
      <protection/>
    </xf>
    <xf numFmtId="2" fontId="27" fillId="38" borderId="25" xfId="0" applyNumberFormat="1" applyFont="1" applyFill="1" applyBorder="1" applyAlignment="1" applyProtection="1">
      <alignment horizontal="center"/>
      <protection/>
    </xf>
    <xf numFmtId="0" fontId="33" fillId="38" borderId="16" xfId="0" applyFont="1" applyFill="1" applyBorder="1" applyAlignment="1" applyProtection="1">
      <alignment vertical="center"/>
      <protection/>
    </xf>
    <xf numFmtId="0" fontId="33" fillId="38" borderId="0" xfId="0" applyFont="1" applyFill="1" applyBorder="1" applyAlignment="1" applyProtection="1">
      <alignment vertical="center"/>
      <protection/>
    </xf>
    <xf numFmtId="0" fontId="33" fillId="38" borderId="28" xfId="0" applyFont="1" applyFill="1" applyBorder="1" applyAlignment="1" applyProtection="1">
      <alignment vertical="center"/>
      <protection/>
    </xf>
    <xf numFmtId="0" fontId="62" fillId="38" borderId="15" xfId="0" applyFont="1" applyFill="1" applyBorder="1" applyAlignment="1" applyProtection="1">
      <alignment vertical="center"/>
      <protection/>
    </xf>
    <xf numFmtId="0" fontId="62" fillId="38" borderId="31" xfId="0" applyFont="1" applyFill="1" applyBorder="1" applyAlignment="1" applyProtection="1">
      <alignment vertical="center"/>
      <protection/>
    </xf>
    <xf numFmtId="0" fontId="62" fillId="38" borderId="24" xfId="0" applyFont="1" applyFill="1" applyBorder="1" applyAlignment="1" applyProtection="1">
      <alignment horizontal="right" vertical="center"/>
      <protection/>
    </xf>
    <xf numFmtId="1" fontId="33" fillId="38" borderId="16" xfId="0" applyNumberFormat="1" applyFont="1" applyFill="1" applyBorder="1" applyAlignment="1" applyProtection="1">
      <alignment vertical="center"/>
      <protection/>
    </xf>
    <xf numFmtId="1" fontId="33" fillId="38" borderId="0" xfId="0" applyNumberFormat="1" applyFont="1" applyFill="1" applyBorder="1" applyAlignment="1" applyProtection="1">
      <alignment vertical="center"/>
      <protection/>
    </xf>
    <xf numFmtId="1" fontId="33" fillId="38" borderId="28" xfId="0" applyNumberFormat="1" applyFont="1" applyFill="1" applyBorder="1" applyAlignment="1" applyProtection="1">
      <alignment vertical="center"/>
      <protection/>
    </xf>
    <xf numFmtId="0" fontId="33" fillId="38" borderId="15" xfId="0" applyFont="1" applyFill="1" applyBorder="1" applyAlignment="1" applyProtection="1">
      <alignment vertical="center"/>
      <protection/>
    </xf>
    <xf numFmtId="0" fontId="33" fillId="38" borderId="31" xfId="0" applyFont="1" applyFill="1" applyBorder="1" applyAlignment="1" applyProtection="1">
      <alignment vertical="center"/>
      <protection/>
    </xf>
    <xf numFmtId="0" fontId="33" fillId="38" borderId="24" xfId="0" applyFont="1" applyFill="1" applyBorder="1" applyAlignment="1" applyProtection="1">
      <alignment vertical="center"/>
      <protection/>
    </xf>
    <xf numFmtId="0" fontId="30" fillId="38" borderId="28" xfId="0" applyFont="1" applyFill="1" applyBorder="1" applyAlignment="1" applyProtection="1">
      <alignment horizontal="center" vertical="center"/>
      <protection/>
    </xf>
    <xf numFmtId="1" fontId="30" fillId="38" borderId="28" xfId="0" applyNumberFormat="1" applyFont="1" applyFill="1" applyBorder="1" applyAlignment="1" applyProtection="1">
      <alignment horizontal="center" vertical="center"/>
      <protection/>
    </xf>
    <xf numFmtId="1" fontId="30" fillId="38" borderId="0" xfId="0" applyNumberFormat="1" applyFont="1" applyFill="1" applyBorder="1" applyAlignment="1" applyProtection="1">
      <alignment horizontal="centerContinuous" vertical="center"/>
      <protection/>
    </xf>
    <xf numFmtId="1" fontId="30" fillId="38" borderId="13" xfId="0" applyNumberFormat="1" applyFont="1" applyFill="1" applyBorder="1" applyAlignment="1" applyProtection="1">
      <alignment horizontal="centerContinuous" vertical="center"/>
      <protection/>
    </xf>
    <xf numFmtId="0" fontId="30" fillId="38" borderId="13" xfId="0" applyFont="1" applyFill="1" applyBorder="1" applyAlignment="1" applyProtection="1">
      <alignment horizontal="centerContinuous"/>
      <protection/>
    </xf>
    <xf numFmtId="0" fontId="55" fillId="38" borderId="24" xfId="0" applyFont="1" applyFill="1" applyBorder="1" applyAlignment="1" applyProtection="1">
      <alignment horizontal="center" vertical="center"/>
      <protection/>
    </xf>
    <xf numFmtId="1" fontId="55" fillId="38" borderId="24" xfId="0" applyNumberFormat="1" applyFont="1" applyFill="1" applyBorder="1" applyAlignment="1" applyProtection="1">
      <alignment horizontal="center" vertical="center"/>
      <protection/>
    </xf>
    <xf numFmtId="1" fontId="55" fillId="38" borderId="31" xfId="0" applyNumberFormat="1" applyFont="1" applyFill="1" applyBorder="1" applyAlignment="1" applyProtection="1">
      <alignment horizontal="centerContinuous" vertical="center"/>
      <protection/>
    </xf>
    <xf numFmtId="0" fontId="55" fillId="38" borderId="26" xfId="0" applyFont="1" applyFill="1" applyBorder="1" applyAlignment="1" applyProtection="1">
      <alignment horizontal="centerContinuous" vertical="center"/>
      <protection/>
    </xf>
    <xf numFmtId="170" fontId="30" fillId="38" borderId="0" xfId="0" applyNumberFormat="1" applyFont="1" applyFill="1" applyBorder="1" applyAlignment="1" applyProtection="1">
      <alignment horizontal="center" vertical="center"/>
      <protection/>
    </xf>
    <xf numFmtId="1" fontId="30" fillId="38" borderId="0" xfId="0" applyNumberFormat="1" applyFont="1" applyFill="1" applyBorder="1" applyAlignment="1" applyProtection="1">
      <alignment horizontal="center" vertical="center"/>
      <protection/>
    </xf>
    <xf numFmtId="170" fontId="30" fillId="38" borderId="0" xfId="0" applyNumberFormat="1" applyFont="1" applyFill="1" applyBorder="1" applyAlignment="1" applyProtection="1">
      <alignment horizontal="centerContinuous" vertical="center"/>
      <protection/>
    </xf>
    <xf numFmtId="170" fontId="30" fillId="38" borderId="13" xfId="0" applyNumberFormat="1" applyFont="1" applyFill="1" applyBorder="1" applyAlignment="1" applyProtection="1">
      <alignment horizontal="centerContinuous" vertical="center"/>
      <protection/>
    </xf>
    <xf numFmtId="0" fontId="30" fillId="38" borderId="24" xfId="0" applyFont="1" applyFill="1" applyBorder="1" applyAlignment="1" applyProtection="1">
      <alignment horizontal="center" vertical="center"/>
      <protection/>
    </xf>
    <xf numFmtId="1" fontId="30" fillId="38" borderId="31" xfId="0" applyNumberFormat="1" applyFont="1" applyFill="1" applyBorder="1" applyAlignment="1" applyProtection="1">
      <alignment horizontal="center" vertical="center"/>
      <protection/>
    </xf>
    <xf numFmtId="0" fontId="30" fillId="38" borderId="31" xfId="0" applyFont="1" applyFill="1" applyBorder="1" applyAlignment="1" applyProtection="1">
      <alignment horizontal="centerContinuous" vertical="center"/>
      <protection/>
    </xf>
    <xf numFmtId="0" fontId="30" fillId="38" borderId="26" xfId="0" applyFont="1" applyFill="1" applyBorder="1" applyAlignment="1" applyProtection="1">
      <alignment horizontal="centerContinuous" vertical="center"/>
      <protection/>
    </xf>
    <xf numFmtId="0" fontId="21" fillId="38" borderId="18" xfId="0" applyFont="1" applyFill="1" applyBorder="1" applyAlignment="1" applyProtection="1">
      <alignment horizontal="centerContinuous"/>
      <protection/>
    </xf>
    <xf numFmtId="1" fontId="11" fillId="38" borderId="18" xfId="0" applyNumberFormat="1" applyFont="1" applyFill="1" applyBorder="1" applyAlignment="1" applyProtection="1">
      <alignment horizontal="centerContinuous"/>
      <protection/>
    </xf>
    <xf numFmtId="0" fontId="21" fillId="38" borderId="12" xfId="0" applyFont="1" applyFill="1" applyBorder="1" applyAlignment="1" applyProtection="1">
      <alignment horizontal="centerContinuous"/>
      <protection/>
    </xf>
    <xf numFmtId="0" fontId="11" fillId="39" borderId="36" xfId="0" applyFont="1" applyFill="1" applyBorder="1" applyAlignment="1" applyProtection="1">
      <alignment horizontal="center" vertical="center"/>
      <protection locked="0"/>
    </xf>
    <xf numFmtId="0" fontId="11" fillId="39" borderId="21" xfId="0" applyFont="1" applyFill="1" applyBorder="1" applyAlignment="1" applyProtection="1">
      <alignment horizontal="center" vertical="center"/>
      <protection locked="0"/>
    </xf>
    <xf numFmtId="0" fontId="64" fillId="0" borderId="0" xfId="0" applyFont="1" applyAlignment="1">
      <alignment/>
    </xf>
    <xf numFmtId="173" fontId="64" fillId="0" borderId="47" xfId="59" applyNumberFormat="1" applyFont="1" applyBorder="1" applyAlignment="1">
      <alignment horizontal="center"/>
    </xf>
    <xf numFmtId="0" fontId="65" fillId="0" borderId="0" xfId="0" applyFont="1" applyAlignment="1">
      <alignment horizontal="right"/>
    </xf>
    <xf numFmtId="173" fontId="65" fillId="0" borderId="47" xfId="59" applyNumberFormat="1" applyFont="1" applyBorder="1" applyAlignment="1">
      <alignment horizontal="center"/>
    </xf>
    <xf numFmtId="0" fontId="7" fillId="0" borderId="0" xfId="0" applyFont="1" applyAlignment="1">
      <alignment horizontal="left"/>
    </xf>
    <xf numFmtId="0" fontId="7" fillId="0" borderId="38" xfId="0" applyFont="1" applyBorder="1" applyAlignment="1">
      <alignment/>
    </xf>
    <xf numFmtId="0" fontId="7" fillId="0" borderId="54" xfId="0" applyFont="1" applyBorder="1" applyAlignment="1">
      <alignment/>
    </xf>
    <xf numFmtId="0" fontId="7" fillId="0" borderId="16" xfId="0" applyFont="1" applyBorder="1" applyAlignment="1">
      <alignment/>
    </xf>
    <xf numFmtId="173" fontId="66" fillId="0" borderId="28" xfId="0" applyNumberFormat="1" applyFont="1" applyBorder="1" applyAlignment="1">
      <alignment horizontal="center"/>
    </xf>
    <xf numFmtId="173" fontId="67" fillId="0" borderId="13" xfId="0" applyNumberFormat="1" applyFont="1" applyBorder="1" applyAlignment="1">
      <alignment horizontal="center"/>
    </xf>
    <xf numFmtId="174" fontId="66" fillId="0" borderId="28" xfId="59" applyNumberFormat="1" applyFont="1" applyBorder="1" applyAlignment="1">
      <alignment horizontal="center"/>
    </xf>
    <xf numFmtId="174" fontId="67" fillId="0" borderId="13" xfId="59" applyNumberFormat="1" applyFont="1" applyBorder="1" applyAlignment="1">
      <alignment horizontal="center"/>
    </xf>
    <xf numFmtId="0" fontId="7" fillId="0" borderId="15" xfId="0" applyFont="1" applyBorder="1" applyAlignment="1">
      <alignment/>
    </xf>
    <xf numFmtId="0" fontId="7" fillId="0" borderId="31" xfId="0" applyFont="1" applyBorder="1" applyAlignment="1">
      <alignment/>
    </xf>
    <xf numFmtId="0" fontId="8" fillId="0" borderId="16" xfId="0" applyFont="1" applyBorder="1" applyAlignment="1">
      <alignment/>
    </xf>
    <xf numFmtId="0" fontId="8" fillId="0" borderId="0" xfId="0" applyFont="1" applyBorder="1" applyAlignment="1">
      <alignment/>
    </xf>
    <xf numFmtId="174" fontId="64" fillId="0" borderId="28" xfId="59" applyNumberFormat="1" applyFont="1" applyBorder="1" applyAlignment="1">
      <alignment horizontal="center"/>
    </xf>
    <xf numFmtId="174" fontId="65" fillId="0" borderId="13" xfId="59" applyNumberFormat="1" applyFont="1" applyBorder="1" applyAlignment="1">
      <alignment horizontal="center"/>
    </xf>
    <xf numFmtId="9" fontId="66" fillId="0" borderId="24" xfId="51" applyFont="1" applyBorder="1" applyAlignment="1">
      <alignment horizontal="center"/>
    </xf>
    <xf numFmtId="9" fontId="67" fillId="0" borderId="26" xfId="51" applyFont="1" applyBorder="1" applyAlignment="1">
      <alignment horizontal="center"/>
    </xf>
    <xf numFmtId="173" fontId="66" fillId="0" borderId="28" xfId="59" applyNumberFormat="1" applyFont="1" applyBorder="1" applyAlignment="1">
      <alignment horizontal="center"/>
    </xf>
    <xf numFmtId="173" fontId="67" fillId="0" borderId="13" xfId="59" applyNumberFormat="1" applyFont="1" applyBorder="1" applyAlignment="1">
      <alignment horizontal="center"/>
    </xf>
    <xf numFmtId="172" fontId="66" fillId="0" borderId="24" xfId="59" applyNumberFormat="1" applyFont="1" applyBorder="1" applyAlignment="1">
      <alignment horizontal="center"/>
    </xf>
    <xf numFmtId="172" fontId="67" fillId="0" borderId="26" xfId="59" applyNumberFormat="1" applyFont="1" applyBorder="1" applyAlignment="1">
      <alignment horizontal="center"/>
    </xf>
    <xf numFmtId="0" fontId="7" fillId="0" borderId="17" xfId="0" applyFont="1" applyBorder="1" applyAlignment="1">
      <alignment/>
    </xf>
    <xf numFmtId="0" fontId="7" fillId="0" borderId="27" xfId="0" applyFont="1" applyBorder="1" applyAlignment="1">
      <alignment/>
    </xf>
    <xf numFmtId="173" fontId="65" fillId="0" borderId="14" xfId="59" applyNumberFormat="1" applyFont="1" applyBorder="1" applyAlignment="1">
      <alignment horizontal="center"/>
    </xf>
    <xf numFmtId="173" fontId="65" fillId="0" borderId="0" xfId="59" applyNumberFormat="1" applyFont="1" applyBorder="1" applyAlignment="1">
      <alignment horizontal="center"/>
    </xf>
    <xf numFmtId="9" fontId="65" fillId="0" borderId="47" xfId="59" applyNumberFormat="1" applyFont="1" applyBorder="1" applyAlignment="1">
      <alignment horizontal="center"/>
    </xf>
    <xf numFmtId="0" fontId="7" fillId="0" borderId="39" xfId="0" applyFont="1" applyBorder="1" applyAlignment="1">
      <alignment/>
    </xf>
    <xf numFmtId="0" fontId="7" fillId="0" borderId="39" xfId="0" applyFont="1" applyBorder="1" applyAlignment="1">
      <alignment horizontal="center"/>
    </xf>
    <xf numFmtId="0" fontId="7" fillId="0" borderId="24" xfId="0" applyFont="1" applyBorder="1" applyAlignment="1">
      <alignment/>
    </xf>
    <xf numFmtId="0" fontId="7" fillId="0" borderId="28" xfId="0" applyFont="1" applyBorder="1" applyAlignment="1">
      <alignment horizontal="center"/>
    </xf>
    <xf numFmtId="0" fontId="7" fillId="0" borderId="24" xfId="0" applyFont="1" applyBorder="1" applyAlignment="1">
      <alignment horizontal="center"/>
    </xf>
    <xf numFmtId="0" fontId="8" fillId="0" borderId="28" xfId="0" applyFont="1" applyBorder="1" applyAlignment="1">
      <alignment/>
    </xf>
    <xf numFmtId="0" fontId="8" fillId="0" borderId="28"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173" fontId="68" fillId="0" borderId="47" xfId="59" applyNumberFormat="1" applyFont="1" applyBorder="1" applyAlignment="1">
      <alignment horizontal="center"/>
    </xf>
    <xf numFmtId="171" fontId="68" fillId="0" borderId="47" xfId="59" applyNumberFormat="1" applyFont="1" applyBorder="1" applyAlignment="1">
      <alignment horizontal="center"/>
    </xf>
    <xf numFmtId="173" fontId="71" fillId="0" borderId="47" xfId="59" applyNumberFormat="1" applyFont="1" applyBorder="1" applyAlignment="1">
      <alignment horizontal="center"/>
    </xf>
    <xf numFmtId="9" fontId="71" fillId="0" borderId="47" xfId="59" applyNumberFormat="1" applyFont="1" applyBorder="1" applyAlignment="1">
      <alignment horizontal="center"/>
    </xf>
    <xf numFmtId="174" fontId="64" fillId="0" borderId="0" xfId="59" applyNumberFormat="1" applyFont="1" applyAlignment="1">
      <alignment horizontal="left"/>
    </xf>
    <xf numFmtId="173" fontId="64" fillId="0" borderId="0" xfId="59" applyNumberFormat="1" applyFont="1" applyBorder="1" applyAlignment="1">
      <alignment horizontal="center"/>
    </xf>
    <xf numFmtId="173" fontId="66" fillId="0" borderId="0" xfId="59" applyNumberFormat="1" applyFont="1" applyBorder="1" applyAlignment="1">
      <alignment horizontal="center"/>
    </xf>
    <xf numFmtId="171" fontId="66" fillId="0" borderId="0" xfId="59" applyNumberFormat="1" applyFont="1" applyBorder="1" applyAlignment="1">
      <alignment horizontal="center"/>
    </xf>
    <xf numFmtId="9" fontId="65" fillId="0" borderId="0" xfId="59" applyNumberFormat="1" applyFont="1" applyBorder="1" applyAlignment="1">
      <alignment horizontal="center"/>
    </xf>
    <xf numFmtId="171" fontId="66" fillId="0" borderId="47" xfId="59" applyNumberFormat="1" applyFont="1" applyBorder="1" applyAlignment="1">
      <alignment horizontal="center"/>
    </xf>
    <xf numFmtId="0" fontId="67" fillId="0" borderId="0" xfId="0" applyFont="1" applyAlignment="1">
      <alignment horizontal="right"/>
    </xf>
    <xf numFmtId="171" fontId="67" fillId="0" borderId="47" xfId="59" applyNumberFormat="1" applyFont="1" applyBorder="1" applyAlignment="1">
      <alignment horizontal="center"/>
    </xf>
    <xf numFmtId="1" fontId="66" fillId="0" borderId="24" xfId="59" applyNumberFormat="1" applyFont="1" applyBorder="1" applyAlignment="1">
      <alignment horizontal="center"/>
    </xf>
    <xf numFmtId="1" fontId="67" fillId="0" borderId="26" xfId="59" applyNumberFormat="1" applyFont="1" applyBorder="1" applyAlignment="1">
      <alignment horizontal="center"/>
    </xf>
    <xf numFmtId="0" fontId="64" fillId="0" borderId="0" xfId="0" applyFont="1" applyAlignment="1">
      <alignment horizontal="right" wrapText="1"/>
    </xf>
    <xf numFmtId="0" fontId="8" fillId="0" borderId="21" xfId="0" applyFont="1" applyBorder="1" applyAlignment="1">
      <alignment horizontal="center"/>
    </xf>
    <xf numFmtId="0" fontId="31" fillId="0" borderId="0" xfId="0" applyFont="1" applyAlignment="1" applyProtection="1">
      <alignment vertical="center"/>
      <protection/>
    </xf>
    <xf numFmtId="0" fontId="31" fillId="34" borderId="32" xfId="0" applyFont="1" applyFill="1" applyBorder="1" applyAlignment="1" applyProtection="1">
      <alignment horizontal="center"/>
      <protection/>
    </xf>
    <xf numFmtId="0" fontId="0" fillId="34" borderId="32" xfId="0" applyFill="1" applyBorder="1" applyAlignment="1">
      <alignment vertical="center"/>
    </xf>
    <xf numFmtId="0" fontId="0" fillId="34" borderId="18" xfId="0" applyFill="1" applyBorder="1" applyAlignment="1">
      <alignment vertical="center"/>
    </xf>
    <xf numFmtId="0" fontId="0" fillId="34" borderId="59" xfId="0" applyFill="1" applyBorder="1" applyAlignment="1">
      <alignment vertical="center"/>
    </xf>
    <xf numFmtId="0" fontId="0" fillId="34" borderId="12" xfId="0" applyFill="1" applyBorder="1" applyAlignment="1">
      <alignment vertical="center"/>
    </xf>
    <xf numFmtId="0" fontId="31" fillId="34" borderId="10" xfId="0" applyFont="1" applyFill="1" applyBorder="1" applyAlignment="1" applyProtection="1">
      <alignment horizontal="center"/>
      <protection/>
    </xf>
    <xf numFmtId="1" fontId="31" fillId="34" borderId="10" xfId="0" applyNumberFormat="1" applyFont="1" applyFill="1" applyBorder="1" applyAlignment="1" applyProtection="1">
      <alignment horizontal="center" vertical="center"/>
      <protection/>
    </xf>
    <xf numFmtId="1" fontId="31" fillId="34" borderId="0" xfId="0" applyNumberFormat="1" applyFont="1" applyFill="1" applyBorder="1" applyAlignment="1" applyProtection="1">
      <alignment horizontal="center" vertical="center"/>
      <protection/>
    </xf>
    <xf numFmtId="0" fontId="31" fillId="34" borderId="17" xfId="0" applyFont="1" applyFill="1" applyBorder="1" applyAlignment="1" applyProtection="1">
      <alignment vertical="center"/>
      <protection/>
    </xf>
    <xf numFmtId="0" fontId="27" fillId="34" borderId="27" xfId="0" applyFont="1" applyFill="1" applyBorder="1" applyAlignment="1" applyProtection="1">
      <alignment vertical="center"/>
      <protection/>
    </xf>
    <xf numFmtId="0" fontId="31" fillId="34" borderId="23" xfId="0" applyFont="1" applyFill="1" applyBorder="1" applyAlignment="1" applyProtection="1">
      <alignment horizontal="center" vertical="center"/>
      <protection/>
    </xf>
    <xf numFmtId="4" fontId="24" fillId="38" borderId="28" xfId="0" applyNumberFormat="1" applyFont="1" applyFill="1" applyBorder="1" applyAlignment="1" applyProtection="1">
      <alignment horizontal="center"/>
      <protection/>
    </xf>
    <xf numFmtId="2" fontId="24" fillId="34" borderId="23" xfId="0" applyNumberFormat="1" applyFont="1" applyFill="1" applyBorder="1" applyAlignment="1" applyProtection="1">
      <alignment horizontal="center" vertical="center"/>
      <protection/>
    </xf>
    <xf numFmtId="2" fontId="24" fillId="34" borderId="27" xfId="0" applyNumberFormat="1" applyFont="1" applyFill="1" applyBorder="1" applyAlignment="1" applyProtection="1">
      <alignment horizontal="center" vertical="center"/>
      <protection/>
    </xf>
    <xf numFmtId="0" fontId="56" fillId="0" borderId="0" xfId="0" applyFont="1" applyAlignment="1" applyProtection="1">
      <alignment vertical="center"/>
      <protection/>
    </xf>
    <xf numFmtId="1" fontId="4" fillId="0" borderId="0" xfId="0" applyNumberFormat="1" applyFont="1" applyAlignment="1" applyProtection="1">
      <alignment vertical="center"/>
      <protection/>
    </xf>
    <xf numFmtId="4" fontId="4" fillId="0" borderId="0" xfId="0" applyNumberFormat="1" applyFont="1" applyAlignment="1" applyProtection="1">
      <alignment vertical="center"/>
      <protection/>
    </xf>
    <xf numFmtId="2" fontId="4" fillId="0" borderId="0" xfId="0" applyNumberFormat="1" applyFont="1" applyAlignment="1" applyProtection="1">
      <alignment vertical="center"/>
      <protection/>
    </xf>
    <xf numFmtId="2" fontId="37" fillId="0" borderId="43" xfId="0" applyNumberFormat="1" applyFont="1" applyBorder="1" applyAlignment="1">
      <alignment horizontal="center"/>
    </xf>
    <xf numFmtId="174" fontId="68" fillId="0" borderId="56" xfId="59" applyNumberFormat="1" applyFont="1" applyBorder="1" applyAlignment="1">
      <alignment horizontal="center"/>
    </xf>
    <xf numFmtId="174" fontId="69" fillId="40" borderId="58" xfId="59" applyNumberFormat="1" applyFont="1" applyFill="1" applyBorder="1" applyAlignment="1">
      <alignment horizontal="center"/>
    </xf>
    <xf numFmtId="174" fontId="70" fillId="40" borderId="21" xfId="59" applyNumberFormat="1" applyFont="1" applyFill="1" applyBorder="1" applyAlignment="1">
      <alignment horizontal="center"/>
    </xf>
    <xf numFmtId="0" fontId="31" fillId="38" borderId="10" xfId="0" applyFont="1" applyFill="1" applyBorder="1" applyAlignment="1" applyProtection="1">
      <alignment horizontal="center"/>
      <protection/>
    </xf>
    <xf numFmtId="0" fontId="4" fillId="0" borderId="0" xfId="0" applyFont="1" applyAlignment="1" applyProtection="1">
      <alignment horizontal="right" vertical="center"/>
      <protection/>
    </xf>
    <xf numFmtId="3" fontId="0" fillId="0" borderId="0" xfId="0" applyNumberFormat="1" applyAlignment="1" applyProtection="1">
      <alignment vertical="center"/>
      <protection/>
    </xf>
    <xf numFmtId="170" fontId="52" fillId="0" borderId="0" xfId="0" applyNumberFormat="1" applyFont="1" applyAlignment="1" applyProtection="1">
      <alignment horizontal="right" vertical="center"/>
      <protection/>
    </xf>
    <xf numFmtId="0" fontId="4" fillId="0" borderId="0" xfId="0" applyFont="1" applyFill="1" applyBorder="1" applyAlignment="1">
      <alignment horizontal="left" vertical="center"/>
    </xf>
    <xf numFmtId="0" fontId="4" fillId="0" borderId="0" xfId="0" applyFont="1" applyFill="1" applyBorder="1" applyAlignment="1" applyProtection="1">
      <alignment horizontal="left" vertical="center"/>
      <protection/>
    </xf>
    <xf numFmtId="2" fontId="4" fillId="0" borderId="0" xfId="0" applyNumberFormat="1" applyFont="1" applyFill="1" applyBorder="1" applyAlignment="1" applyProtection="1">
      <alignment horizontal="right" vertical="center"/>
      <protection/>
    </xf>
    <xf numFmtId="2" fontId="4" fillId="0" borderId="0" xfId="0" applyNumberFormat="1" applyFont="1" applyFill="1" applyBorder="1" applyAlignment="1">
      <alignment horizontal="right" vertical="center"/>
    </xf>
    <xf numFmtId="2" fontId="52" fillId="0" borderId="0" xfId="0" applyNumberFormat="1" applyFont="1" applyBorder="1" applyAlignment="1" applyProtection="1">
      <alignment horizontal="right" vertical="center"/>
      <protection/>
    </xf>
    <xf numFmtId="1" fontId="4" fillId="0" borderId="0" xfId="0" applyNumberFormat="1" applyFont="1" applyAlignment="1">
      <alignment/>
    </xf>
    <xf numFmtId="0" fontId="4" fillId="0" borderId="0" xfId="0" applyFont="1" applyAlignment="1">
      <alignment horizontal="center" vertical="center"/>
    </xf>
    <xf numFmtId="1" fontId="4" fillId="0" borderId="0" xfId="0" applyNumberFormat="1" applyFont="1" applyAlignment="1">
      <alignment horizontal="right" vertical="center"/>
    </xf>
    <xf numFmtId="2" fontId="4" fillId="0" borderId="0" xfId="0" applyNumberFormat="1" applyFont="1" applyAlignment="1">
      <alignment horizontal="right" vertical="center"/>
    </xf>
    <xf numFmtId="0" fontId="4" fillId="0" borderId="0" xfId="0" applyFont="1" applyAlignment="1">
      <alignment horizontal="right"/>
    </xf>
    <xf numFmtId="2" fontId="4" fillId="0" borderId="0" xfId="0" applyNumberFormat="1" applyFont="1" applyAlignment="1">
      <alignment/>
    </xf>
    <xf numFmtId="3" fontId="4" fillId="0" borderId="0" xfId="0" applyNumberFormat="1" applyFont="1" applyAlignment="1">
      <alignment/>
    </xf>
    <xf numFmtId="172" fontId="4" fillId="0" borderId="0" xfId="51" applyNumberFormat="1" applyFont="1" applyFill="1" applyBorder="1" applyAlignment="1">
      <alignment horizontal="right" vertical="center"/>
    </xf>
    <xf numFmtId="0" fontId="52" fillId="0" borderId="0" xfId="0" applyFont="1" applyAlignment="1" applyProtection="1">
      <alignment/>
      <protection/>
    </xf>
    <xf numFmtId="1" fontId="52" fillId="0" borderId="0" xfId="0" applyNumberFormat="1" applyFont="1" applyAlignment="1">
      <alignment horizontal="right"/>
    </xf>
    <xf numFmtId="2" fontId="52" fillId="0" borderId="0" xfId="0" applyNumberFormat="1" applyFont="1" applyAlignment="1">
      <alignment/>
    </xf>
    <xf numFmtId="0" fontId="52" fillId="0" borderId="0" xfId="0" applyFont="1" applyAlignment="1" applyProtection="1">
      <alignment vertical="center"/>
      <protection/>
    </xf>
    <xf numFmtId="0" fontId="52" fillId="0" borderId="0" xfId="0" applyFont="1" applyFill="1" applyBorder="1" applyAlignment="1" applyProtection="1">
      <alignment horizontal="left" vertical="center"/>
      <protection/>
    </xf>
    <xf numFmtId="0" fontId="52" fillId="0" borderId="0" xfId="0" applyFont="1" applyFill="1" applyBorder="1" applyAlignment="1">
      <alignment horizontal="center" vertical="center"/>
    </xf>
    <xf numFmtId="2" fontId="52" fillId="0" borderId="0" xfId="0" applyNumberFormat="1" applyFont="1" applyFill="1" applyBorder="1" applyAlignment="1">
      <alignment horizontal="right" vertical="center"/>
    </xf>
    <xf numFmtId="9" fontId="52" fillId="0" borderId="0" xfId="51" applyFont="1" applyFill="1" applyBorder="1" applyAlignment="1">
      <alignment horizontal="right" vertical="center"/>
    </xf>
    <xf numFmtId="2" fontId="4" fillId="0" borderId="0" xfId="0" applyNumberFormat="1" applyFont="1" applyAlignment="1">
      <alignment vertical="center"/>
    </xf>
    <xf numFmtId="0" fontId="52" fillId="0" borderId="0" xfId="0" applyFont="1" applyAlignment="1">
      <alignment horizontal="right" vertical="center"/>
    </xf>
    <xf numFmtId="9" fontId="4" fillId="0" borderId="0" xfId="51" applyNumberFormat="1" applyFont="1" applyAlignment="1">
      <alignment vertical="center"/>
    </xf>
    <xf numFmtId="3" fontId="31" fillId="38" borderId="28" xfId="0" applyNumberFormat="1" applyFont="1" applyFill="1" applyBorder="1" applyAlignment="1" applyProtection="1">
      <alignment horizontal="center"/>
      <protection/>
    </xf>
    <xf numFmtId="3" fontId="31" fillId="38" borderId="35" xfId="0" applyNumberFormat="1" applyFont="1" applyFill="1" applyBorder="1" applyAlignment="1" applyProtection="1">
      <alignment horizontal="center"/>
      <protection/>
    </xf>
    <xf numFmtId="3" fontId="31" fillId="38" borderId="13" xfId="0" applyNumberFormat="1" applyFont="1" applyFill="1" applyBorder="1" applyAlignment="1" applyProtection="1">
      <alignment horizontal="center"/>
      <protection/>
    </xf>
    <xf numFmtId="3" fontId="4" fillId="38" borderId="13" xfId="0" applyNumberFormat="1" applyFont="1" applyFill="1" applyBorder="1" applyAlignment="1" applyProtection="1">
      <alignment horizontal="centerContinuous"/>
      <protection/>
    </xf>
    <xf numFmtId="0" fontId="30" fillId="34" borderId="24" xfId="0" applyFont="1" applyFill="1" applyBorder="1" applyAlignment="1" applyProtection="1">
      <alignment horizontal="center"/>
      <protection/>
    </xf>
    <xf numFmtId="9" fontId="30" fillId="34" borderId="24" xfId="51" applyFont="1" applyFill="1" applyBorder="1" applyAlignment="1" applyProtection="1">
      <alignment horizontal="center"/>
      <protection/>
    </xf>
    <xf numFmtId="0" fontId="31" fillId="35" borderId="15" xfId="0" applyFont="1" applyFill="1" applyBorder="1" applyAlignment="1" applyProtection="1">
      <alignment vertical="center"/>
      <protection/>
    </xf>
    <xf numFmtId="0" fontId="31" fillId="35" borderId="31" xfId="0" applyFont="1" applyFill="1" applyBorder="1" applyAlignment="1" applyProtection="1">
      <alignment vertical="center"/>
      <protection/>
    </xf>
    <xf numFmtId="0" fontId="31" fillId="35" borderId="24" xfId="0" applyFont="1" applyFill="1" applyBorder="1" applyAlignment="1" applyProtection="1">
      <alignment horizontal="right" vertical="center"/>
      <protection/>
    </xf>
    <xf numFmtId="0" fontId="31" fillId="35" borderId="24" xfId="0" applyFont="1" applyFill="1" applyBorder="1" applyAlignment="1" applyProtection="1">
      <alignment horizontal="center" vertical="center"/>
      <protection/>
    </xf>
    <xf numFmtId="1" fontId="31" fillId="35" borderId="26" xfId="0" applyNumberFormat="1" applyFont="1" applyFill="1" applyBorder="1" applyAlignment="1" applyProtection="1">
      <alignment horizontal="centerContinuous" vertical="center"/>
      <protection/>
    </xf>
    <xf numFmtId="0" fontId="31" fillId="35" borderId="40" xfId="0" applyFont="1" applyFill="1" applyBorder="1" applyAlignment="1" applyProtection="1">
      <alignment vertical="center"/>
      <protection/>
    </xf>
    <xf numFmtId="0" fontId="31" fillId="35" borderId="53" xfId="0" applyFont="1" applyFill="1" applyBorder="1" applyAlignment="1" applyProtection="1">
      <alignment vertical="center"/>
      <protection/>
    </xf>
    <xf numFmtId="0" fontId="31" fillId="35" borderId="41" xfId="0" applyFont="1" applyFill="1" applyBorder="1" applyAlignment="1" applyProtection="1">
      <alignment horizontal="right" vertical="center"/>
      <protection/>
    </xf>
    <xf numFmtId="0" fontId="31" fillId="35" borderId="41" xfId="0" applyFont="1" applyFill="1" applyBorder="1" applyAlignment="1" applyProtection="1">
      <alignment horizontal="center" vertical="center"/>
      <protection/>
    </xf>
    <xf numFmtId="1" fontId="31" fillId="35" borderId="42" xfId="0" applyNumberFormat="1" applyFont="1" applyFill="1" applyBorder="1" applyAlignment="1" applyProtection="1">
      <alignment horizontal="centerContinuous" vertical="center"/>
      <protection/>
    </xf>
    <xf numFmtId="0" fontId="72" fillId="0" borderId="0" xfId="0" applyFont="1" applyAlignment="1" applyProtection="1">
      <alignment vertical="center"/>
      <protection/>
    </xf>
    <xf numFmtId="176" fontId="72" fillId="0" borderId="0" xfId="0" applyNumberFormat="1" applyFont="1" applyAlignment="1" applyProtection="1">
      <alignment vertical="center"/>
      <protection/>
    </xf>
    <xf numFmtId="176" fontId="72" fillId="39" borderId="0" xfId="0" applyNumberFormat="1" applyFont="1" applyFill="1" applyAlignment="1" applyProtection="1">
      <alignment vertical="center"/>
      <protection/>
    </xf>
    <xf numFmtId="4" fontId="0" fillId="0" borderId="0" xfId="0" applyNumberFormat="1" applyAlignment="1" applyProtection="1">
      <alignment vertical="center"/>
      <protection/>
    </xf>
    <xf numFmtId="172" fontId="0" fillId="0" borderId="0" xfId="0" applyNumberFormat="1" applyAlignment="1" applyProtection="1">
      <alignment vertical="center"/>
      <protection/>
    </xf>
    <xf numFmtId="0" fontId="31" fillId="34" borderId="0" xfId="0" applyFont="1" applyFill="1" applyBorder="1" applyAlignment="1" applyProtection="1">
      <alignment horizontal="left" wrapText="1"/>
      <protection/>
    </xf>
    <xf numFmtId="0" fontId="4" fillId="0" borderId="31" xfId="0" applyFont="1" applyBorder="1" applyAlignment="1" applyProtection="1">
      <alignment/>
      <protection/>
    </xf>
    <xf numFmtId="0" fontId="4" fillId="0" borderId="31" xfId="0" applyFont="1" applyBorder="1" applyAlignment="1">
      <alignment/>
    </xf>
    <xf numFmtId="0" fontId="4" fillId="0" borderId="31" xfId="0" applyFont="1" applyBorder="1" applyAlignment="1">
      <alignment horizontal="right"/>
    </xf>
    <xf numFmtId="0" fontId="31" fillId="38" borderId="31" xfId="0" applyFont="1" applyFill="1" applyBorder="1" applyAlignment="1" applyProtection="1">
      <alignment/>
      <protection/>
    </xf>
    <xf numFmtId="0" fontId="31" fillId="38" borderId="25" xfId="0" applyFont="1" applyFill="1" applyBorder="1" applyAlignment="1" applyProtection="1">
      <alignment horizontal="center"/>
      <protection/>
    </xf>
    <xf numFmtId="172" fontId="31" fillId="35" borderId="28" xfId="51" applyNumberFormat="1" applyFont="1" applyFill="1" applyBorder="1" applyAlignment="1" applyProtection="1">
      <alignment horizontal="center"/>
      <protection/>
    </xf>
    <xf numFmtId="0" fontId="1" fillId="0" borderId="0" xfId="0" applyFont="1" applyAlignment="1" applyProtection="1">
      <alignment vertical="center"/>
      <protection/>
    </xf>
    <xf numFmtId="0" fontId="74" fillId="0" borderId="0" xfId="0" applyFont="1" applyAlignment="1" applyProtection="1">
      <alignment vertical="center"/>
      <protection/>
    </xf>
    <xf numFmtId="0" fontId="73" fillId="0" borderId="0" xfId="0" applyFont="1" applyAlignment="1" applyProtection="1">
      <alignment horizontal="right" vertical="center"/>
      <protection/>
    </xf>
    <xf numFmtId="0" fontId="0" fillId="38" borderId="0" xfId="0" applyFill="1" applyAlignment="1" applyProtection="1">
      <alignment/>
      <protection/>
    </xf>
    <xf numFmtId="0" fontId="4" fillId="38" borderId="0" xfId="0" applyFont="1" applyFill="1" applyAlignment="1" applyProtection="1">
      <alignment horizontal="right"/>
      <protection/>
    </xf>
    <xf numFmtId="0" fontId="4" fillId="38" borderId="0" xfId="0" applyFont="1" applyFill="1" applyAlignment="1" applyProtection="1">
      <alignment/>
      <protection/>
    </xf>
    <xf numFmtId="0" fontId="56" fillId="38" borderId="20" xfId="0" applyFont="1" applyFill="1" applyBorder="1" applyAlignment="1" applyProtection="1">
      <alignment/>
      <protection/>
    </xf>
    <xf numFmtId="0" fontId="56" fillId="38" borderId="18" xfId="0" applyFont="1" applyFill="1" applyBorder="1" applyAlignment="1" applyProtection="1">
      <alignment/>
      <protection/>
    </xf>
    <xf numFmtId="0" fontId="56" fillId="38" borderId="20" xfId="0" applyFont="1" applyFill="1" applyBorder="1" applyAlignment="1" applyProtection="1">
      <alignment/>
      <protection/>
    </xf>
    <xf numFmtId="0" fontId="56" fillId="38" borderId="18" xfId="0" applyFont="1" applyFill="1" applyBorder="1" applyAlignment="1">
      <alignment/>
    </xf>
    <xf numFmtId="0" fontId="56" fillId="38" borderId="12" xfId="0" applyFont="1" applyFill="1" applyBorder="1" applyAlignment="1" applyProtection="1">
      <alignment/>
      <protection/>
    </xf>
    <xf numFmtId="0" fontId="56" fillId="38" borderId="17" xfId="0" applyFont="1" applyFill="1" applyBorder="1" applyAlignment="1" applyProtection="1">
      <alignment/>
      <protection/>
    </xf>
    <xf numFmtId="0" fontId="56" fillId="38" borderId="27" xfId="0" applyFont="1" applyFill="1" applyBorder="1" applyAlignment="1" applyProtection="1">
      <alignment/>
      <protection/>
    </xf>
    <xf numFmtId="0" fontId="56" fillId="38" borderId="14" xfId="0" applyFont="1" applyFill="1" applyBorder="1" applyAlignment="1" applyProtection="1">
      <alignment/>
      <protection/>
    </xf>
    <xf numFmtId="0" fontId="56" fillId="38" borderId="17" xfId="0" applyFont="1" applyFill="1" applyBorder="1" applyAlignment="1" applyProtection="1">
      <alignment/>
      <protection/>
    </xf>
    <xf numFmtId="0" fontId="56" fillId="38" borderId="21" xfId="0" applyFont="1" applyFill="1" applyBorder="1" applyAlignment="1" applyProtection="1">
      <alignment/>
      <protection/>
    </xf>
    <xf numFmtId="0" fontId="0" fillId="33" borderId="0" xfId="0" applyFill="1" applyAlignment="1">
      <alignment/>
    </xf>
    <xf numFmtId="0" fontId="4" fillId="38" borderId="16" xfId="0" applyFont="1" applyFill="1" applyBorder="1" applyAlignment="1">
      <alignment vertical="center"/>
    </xf>
    <xf numFmtId="0" fontId="0" fillId="38" borderId="0" xfId="0" applyFill="1" applyBorder="1" applyAlignment="1">
      <alignment vertical="center"/>
    </xf>
    <xf numFmtId="0" fontId="4" fillId="38" borderId="17" xfId="0" applyFont="1" applyFill="1" applyBorder="1" applyAlignment="1">
      <alignment vertical="center"/>
    </xf>
    <xf numFmtId="3" fontId="56" fillId="0" borderId="0" xfId="0" applyNumberFormat="1" applyFont="1" applyAlignment="1" applyProtection="1">
      <alignment vertical="center"/>
      <protection/>
    </xf>
    <xf numFmtId="0" fontId="56" fillId="0" borderId="0" xfId="0" applyFont="1" applyAlignment="1">
      <alignment vertical="center"/>
    </xf>
    <xf numFmtId="9" fontId="56" fillId="0" borderId="0" xfId="51" applyFont="1" applyAlignment="1" applyProtection="1">
      <alignment vertical="center"/>
      <protection/>
    </xf>
    <xf numFmtId="2" fontId="0" fillId="38" borderId="10" xfId="0" applyNumberFormat="1" applyFont="1" applyFill="1" applyBorder="1" applyAlignment="1" applyProtection="1">
      <alignment horizontal="center"/>
      <protection/>
    </xf>
    <xf numFmtId="4" fontId="28" fillId="0" borderId="23" xfId="0" applyNumberFormat="1" applyFont="1" applyFill="1" applyBorder="1" applyAlignment="1" applyProtection="1">
      <alignment horizontal="center"/>
      <protection/>
    </xf>
    <xf numFmtId="4" fontId="25" fillId="0" borderId="19" xfId="0" applyNumberFormat="1" applyFont="1" applyFill="1" applyBorder="1" applyAlignment="1" applyProtection="1">
      <alignment horizontal="center"/>
      <protection/>
    </xf>
    <xf numFmtId="0" fontId="7" fillId="0" borderId="0" xfId="0" applyFont="1" applyAlignment="1" applyProtection="1">
      <alignment vertical="center"/>
      <protection/>
    </xf>
    <xf numFmtId="2" fontId="7" fillId="0" borderId="0" xfId="0" applyNumberFormat="1" applyFont="1" applyAlignment="1" applyProtection="1">
      <alignment horizontal="center" vertical="center"/>
      <protection/>
    </xf>
    <xf numFmtId="2" fontId="57" fillId="0" borderId="10" xfId="0" applyNumberFormat="1" applyFont="1" applyFill="1" applyBorder="1" applyAlignment="1" applyProtection="1">
      <alignment horizontal="center"/>
      <protection/>
    </xf>
    <xf numFmtId="4" fontId="25" fillId="0" borderId="32" xfId="0" applyNumberFormat="1" applyFont="1" applyFill="1" applyBorder="1" applyAlignment="1" applyProtection="1">
      <alignment horizontal="center"/>
      <protection/>
    </xf>
    <xf numFmtId="0" fontId="56" fillId="38" borderId="16" xfId="0" applyFont="1" applyFill="1" applyBorder="1" applyAlignment="1" applyProtection="1">
      <alignment/>
      <protection/>
    </xf>
    <xf numFmtId="0" fontId="56" fillId="38" borderId="0" xfId="0" applyFont="1" applyFill="1" applyBorder="1" applyAlignment="1" applyProtection="1">
      <alignment/>
      <protection/>
    </xf>
    <xf numFmtId="0" fontId="56" fillId="38" borderId="16" xfId="0" applyFont="1" applyFill="1" applyBorder="1" applyAlignment="1" applyProtection="1">
      <alignment/>
      <protection/>
    </xf>
    <xf numFmtId="0" fontId="56" fillId="38" borderId="0" xfId="0" applyFont="1" applyFill="1" applyBorder="1" applyAlignment="1">
      <alignment/>
    </xf>
    <xf numFmtId="0" fontId="56" fillId="38" borderId="13" xfId="0" applyFont="1" applyFill="1" applyBorder="1" applyAlignment="1" applyProtection="1">
      <alignment/>
      <protection/>
    </xf>
    <xf numFmtId="170" fontId="56" fillId="33" borderId="10" xfId="0" applyNumberFormat="1" applyFont="1" applyFill="1" applyBorder="1" applyAlignment="1" applyProtection="1">
      <alignment horizontal="center"/>
      <protection locked="0"/>
    </xf>
    <xf numFmtId="170" fontId="56" fillId="33" borderId="32" xfId="0" applyNumberFormat="1" applyFont="1" applyFill="1" applyBorder="1" applyAlignment="1" applyProtection="1">
      <alignment horizontal="center"/>
      <protection locked="0"/>
    </xf>
    <xf numFmtId="170" fontId="7" fillId="33" borderId="32" xfId="0" applyNumberFormat="1" applyFont="1" applyFill="1" applyBorder="1" applyAlignment="1" applyProtection="1">
      <alignment horizontal="center"/>
      <protection locked="0"/>
    </xf>
    <xf numFmtId="14" fontId="47" fillId="33" borderId="22" xfId="0" applyNumberFormat="1" applyFont="1" applyFill="1" applyBorder="1" applyAlignment="1" applyProtection="1">
      <alignment horizontal="center" vertical="center"/>
      <protection locked="0"/>
    </xf>
    <xf numFmtId="0" fontId="4" fillId="0" borderId="0" xfId="0" applyFont="1" applyAlignment="1">
      <alignment horizontal="right" vertical="center"/>
    </xf>
    <xf numFmtId="0" fontId="61" fillId="38" borderId="0" xfId="0" applyFont="1" applyFill="1" applyAlignment="1" applyProtection="1">
      <alignment horizontal="right" vertical="center"/>
      <protection/>
    </xf>
    <xf numFmtId="0" fontId="52" fillId="38" borderId="0" xfId="0" applyFont="1" applyFill="1" applyAlignment="1" applyProtection="1">
      <alignment horizontal="right"/>
      <protection/>
    </xf>
    <xf numFmtId="0" fontId="42" fillId="38" borderId="0" xfId="0" applyFont="1" applyFill="1" applyAlignment="1" applyProtection="1">
      <alignment/>
      <protection/>
    </xf>
    <xf numFmtId="0" fontId="4" fillId="0" borderId="22" xfId="0" applyFont="1" applyFill="1" applyBorder="1" applyAlignment="1">
      <alignment horizontal="center"/>
    </xf>
    <xf numFmtId="0" fontId="71" fillId="38" borderId="0" xfId="0" applyFont="1" applyFill="1" applyAlignment="1" applyProtection="1">
      <alignment/>
      <protection/>
    </xf>
    <xf numFmtId="0" fontId="77" fillId="38" borderId="0" xfId="0" applyFont="1" applyFill="1" applyAlignment="1" applyProtection="1">
      <alignment/>
      <protection/>
    </xf>
    <xf numFmtId="0" fontId="65" fillId="0" borderId="0" xfId="0" applyFont="1" applyAlignment="1" applyProtection="1">
      <alignment/>
      <protection/>
    </xf>
    <xf numFmtId="3" fontId="1" fillId="0" borderId="10" xfId="0" applyNumberFormat="1" applyFont="1" applyFill="1" applyBorder="1" applyAlignment="1" applyProtection="1">
      <alignment horizontal="center"/>
      <protection/>
    </xf>
    <xf numFmtId="0" fontId="7" fillId="38" borderId="20" xfId="0" applyFont="1" applyFill="1" applyBorder="1" applyAlignment="1" applyProtection="1">
      <alignment/>
      <protection/>
    </xf>
    <xf numFmtId="0" fontId="7" fillId="38" borderId="18" xfId="0" applyFont="1" applyFill="1" applyBorder="1" applyAlignment="1" applyProtection="1">
      <alignment/>
      <protection/>
    </xf>
    <xf numFmtId="0" fontId="7" fillId="38" borderId="12" xfId="0" applyFont="1" applyFill="1" applyBorder="1" applyAlignment="1" applyProtection="1">
      <alignment/>
      <protection/>
    </xf>
    <xf numFmtId="0" fontId="7" fillId="38" borderId="0" xfId="0" applyFont="1" applyFill="1" applyBorder="1" applyAlignment="1" applyProtection="1">
      <alignment/>
      <protection/>
    </xf>
    <xf numFmtId="3" fontId="8" fillId="0" borderId="10" xfId="0" applyNumberFormat="1" applyFont="1" applyFill="1" applyBorder="1" applyAlignment="1" applyProtection="1">
      <alignment horizontal="center"/>
      <protection/>
    </xf>
    <xf numFmtId="0" fontId="7" fillId="38" borderId="13" xfId="0" applyFont="1" applyFill="1" applyBorder="1" applyAlignment="1" applyProtection="1">
      <alignment/>
      <protection/>
    </xf>
    <xf numFmtId="0" fontId="7" fillId="0" borderId="0" xfId="0" applyFont="1" applyAlignment="1">
      <alignment horizontal="right" vertical="center"/>
    </xf>
    <xf numFmtId="0" fontId="7" fillId="0" borderId="19" xfId="0" applyFont="1" applyBorder="1" applyAlignment="1">
      <alignment/>
    </xf>
    <xf numFmtId="0" fontId="64" fillId="0" borderId="19" xfId="0" applyFont="1" applyBorder="1" applyAlignment="1">
      <alignment horizontal="center" wrapText="1"/>
    </xf>
    <xf numFmtId="0" fontId="65" fillId="0" borderId="12" xfId="0" applyFont="1" applyBorder="1" applyAlignment="1">
      <alignment horizontal="center" wrapText="1"/>
    </xf>
    <xf numFmtId="0" fontId="7" fillId="0" borderId="21" xfId="0" applyFont="1" applyBorder="1" applyAlignment="1">
      <alignment/>
    </xf>
    <xf numFmtId="0" fontId="19" fillId="0" borderId="45" xfId="0" applyFont="1" applyBorder="1" applyAlignment="1">
      <alignment/>
    </xf>
    <xf numFmtId="0" fontId="19" fillId="0" borderId="28" xfId="0" applyFont="1" applyBorder="1" applyAlignment="1">
      <alignment/>
    </xf>
    <xf numFmtId="0" fontId="19" fillId="0" borderId="0" xfId="0" applyFont="1" applyBorder="1" applyAlignment="1">
      <alignment/>
    </xf>
    <xf numFmtId="0" fontId="19" fillId="0" borderId="60" xfId="0" applyFont="1" applyBorder="1" applyAlignment="1">
      <alignment/>
    </xf>
    <xf numFmtId="0" fontId="78" fillId="0" borderId="19" xfId="0" applyFont="1" applyBorder="1" applyAlignment="1">
      <alignment horizontal="center"/>
    </xf>
    <xf numFmtId="173" fontId="68" fillId="0" borderId="56" xfId="59" applyNumberFormat="1" applyFont="1" applyBorder="1" applyAlignment="1">
      <alignment horizontal="center"/>
    </xf>
    <xf numFmtId="173" fontId="71" fillId="0" borderId="14" xfId="59" applyNumberFormat="1" applyFont="1" applyBorder="1" applyAlignment="1">
      <alignment horizontal="center"/>
    </xf>
    <xf numFmtId="170" fontId="69" fillId="40" borderId="61" xfId="0" applyNumberFormat="1" applyFont="1" applyFill="1" applyBorder="1" applyAlignment="1">
      <alignment horizontal="center"/>
    </xf>
    <xf numFmtId="170" fontId="70" fillId="40" borderId="28" xfId="0" applyNumberFormat="1" applyFont="1" applyFill="1" applyBorder="1" applyAlignment="1">
      <alignment horizontal="center"/>
    </xf>
    <xf numFmtId="2" fontId="69" fillId="0" borderId="13" xfId="0" applyNumberFormat="1" applyFont="1" applyBorder="1" applyAlignment="1">
      <alignment horizontal="center"/>
    </xf>
    <xf numFmtId="170" fontId="70" fillId="40" borderId="24" xfId="0" applyNumberFormat="1" applyFont="1" applyFill="1" applyBorder="1" applyAlignment="1">
      <alignment horizontal="center"/>
    </xf>
    <xf numFmtId="9" fontId="69" fillId="0" borderId="26" xfId="51" applyFont="1" applyBorder="1" applyAlignment="1">
      <alignment horizontal="center"/>
    </xf>
    <xf numFmtId="173" fontId="70" fillId="0" borderId="28" xfId="0" applyNumberFormat="1" applyFont="1" applyBorder="1" applyAlignment="1">
      <alignment horizontal="center"/>
    </xf>
    <xf numFmtId="173" fontId="69" fillId="0" borderId="13" xfId="0" applyNumberFormat="1" applyFont="1" applyBorder="1" applyAlignment="1">
      <alignment horizontal="center"/>
    </xf>
    <xf numFmtId="174" fontId="70" fillId="0" borderId="28" xfId="59" applyNumberFormat="1" applyFont="1" applyBorder="1" applyAlignment="1">
      <alignment horizontal="center"/>
    </xf>
    <xf numFmtId="174" fontId="69" fillId="0" borderId="13" xfId="59" applyNumberFormat="1" applyFont="1" applyBorder="1" applyAlignment="1">
      <alignment horizontal="center"/>
    </xf>
    <xf numFmtId="170" fontId="70" fillId="0" borderId="24" xfId="59" applyNumberFormat="1" applyFont="1" applyBorder="1" applyAlignment="1">
      <alignment horizontal="center"/>
    </xf>
    <xf numFmtId="170" fontId="69" fillId="0" borderId="26" xfId="59" applyNumberFormat="1" applyFont="1" applyBorder="1" applyAlignment="1">
      <alignment horizontal="center"/>
    </xf>
    <xf numFmtId="174" fontId="68" fillId="0" borderId="28" xfId="59" applyNumberFormat="1" applyFont="1" applyBorder="1" applyAlignment="1">
      <alignment horizontal="center"/>
    </xf>
    <xf numFmtId="173" fontId="71" fillId="0" borderId="13" xfId="59" applyNumberFormat="1" applyFont="1" applyBorder="1" applyAlignment="1">
      <alignment horizontal="center"/>
    </xf>
    <xf numFmtId="9" fontId="70" fillId="0" borderId="24" xfId="51" applyFont="1" applyBorder="1" applyAlignment="1">
      <alignment horizontal="center"/>
    </xf>
    <xf numFmtId="173" fontId="70" fillId="0" borderId="28" xfId="59" applyNumberFormat="1" applyFont="1" applyBorder="1" applyAlignment="1">
      <alignment horizontal="center"/>
    </xf>
    <xf numFmtId="173" fontId="69" fillId="0" borderId="13" xfId="59" applyNumberFormat="1" applyFont="1" applyBorder="1" applyAlignment="1">
      <alignment horizontal="center"/>
    </xf>
    <xf numFmtId="172" fontId="70" fillId="0" borderId="24" xfId="59" applyNumberFormat="1" applyFont="1" applyBorder="1" applyAlignment="1">
      <alignment horizontal="center"/>
    </xf>
    <xf numFmtId="172" fontId="69" fillId="0" borderId="26" xfId="59" applyNumberFormat="1" applyFont="1" applyBorder="1" applyAlignment="1">
      <alignment horizontal="center"/>
    </xf>
    <xf numFmtId="174" fontId="71" fillId="0" borderId="13" xfId="59" applyNumberFormat="1" applyFont="1" applyBorder="1" applyAlignment="1">
      <alignment horizontal="center"/>
    </xf>
    <xf numFmtId="0" fontId="68" fillId="0" borderId="0" xfId="0" applyFont="1" applyAlignment="1">
      <alignment/>
    </xf>
    <xf numFmtId="173" fontId="68" fillId="0" borderId="0" xfId="59" applyNumberFormat="1" applyFont="1" applyBorder="1" applyAlignment="1">
      <alignment horizontal="left"/>
    </xf>
    <xf numFmtId="0" fontId="71" fillId="0" borderId="0" xfId="0" applyFont="1" applyAlignment="1">
      <alignment horizontal="right"/>
    </xf>
    <xf numFmtId="173" fontId="71" fillId="0" borderId="0" xfId="59" applyNumberFormat="1" applyFont="1" applyBorder="1" applyAlignment="1">
      <alignment horizontal="center"/>
    </xf>
    <xf numFmtId="0" fontId="5" fillId="0" borderId="62" xfId="0" applyFont="1" applyBorder="1" applyAlignment="1">
      <alignment/>
    </xf>
    <xf numFmtId="0" fontId="68" fillId="0" borderId="62" xfId="0" applyFont="1" applyBorder="1" applyAlignment="1">
      <alignment horizontal="center" wrapText="1"/>
    </xf>
    <xf numFmtId="0" fontId="71" fillId="0" borderId="51" xfId="0" applyFont="1" applyBorder="1" applyAlignment="1">
      <alignment horizontal="center" wrapText="1"/>
    </xf>
    <xf numFmtId="0" fontId="5" fillId="0" borderId="38" xfId="0" applyFont="1" applyBorder="1" applyAlignment="1">
      <alignment/>
    </xf>
    <xf numFmtId="0" fontId="5" fillId="0" borderId="54" xfId="0" applyFont="1" applyBorder="1" applyAlignment="1">
      <alignment/>
    </xf>
    <xf numFmtId="0" fontId="5" fillId="0" borderId="39" xfId="0" applyFont="1" applyBorder="1" applyAlignment="1">
      <alignment/>
    </xf>
    <xf numFmtId="0" fontId="5" fillId="0" borderId="39" xfId="0" applyFont="1" applyBorder="1" applyAlignment="1">
      <alignment horizontal="center"/>
    </xf>
    <xf numFmtId="0" fontId="5" fillId="0" borderId="16" xfId="0" applyFont="1" applyBorder="1" applyAlignment="1">
      <alignment/>
    </xf>
    <xf numFmtId="0" fontId="5" fillId="0" borderId="0" xfId="0" applyFont="1" applyBorder="1" applyAlignment="1">
      <alignment/>
    </xf>
    <xf numFmtId="0" fontId="5" fillId="0" borderId="28" xfId="0" applyFont="1" applyBorder="1" applyAlignment="1">
      <alignment/>
    </xf>
    <xf numFmtId="20" fontId="5" fillId="0" borderId="28" xfId="0" applyNumberFormat="1" applyFont="1" applyBorder="1" applyAlignment="1">
      <alignment horizontal="center"/>
    </xf>
    <xf numFmtId="0" fontId="5" fillId="0" borderId="15" xfId="0" applyFont="1" applyBorder="1" applyAlignment="1">
      <alignment/>
    </xf>
    <xf numFmtId="0" fontId="5" fillId="0" borderId="31" xfId="0" applyFont="1" applyBorder="1" applyAlignment="1">
      <alignment/>
    </xf>
    <xf numFmtId="0" fontId="5" fillId="0" borderId="24" xfId="0" applyFont="1" applyBorder="1" applyAlignment="1">
      <alignment/>
    </xf>
    <xf numFmtId="20" fontId="5" fillId="0" borderId="24" xfId="0" applyNumberFormat="1" applyFont="1" applyBorder="1" applyAlignment="1">
      <alignment horizontal="center"/>
    </xf>
    <xf numFmtId="0" fontId="5" fillId="0" borderId="28" xfId="0" applyFont="1" applyBorder="1" applyAlignment="1">
      <alignment horizontal="center"/>
    </xf>
    <xf numFmtId="0" fontId="5" fillId="0" borderId="10" xfId="0" applyFont="1" applyBorder="1" applyAlignment="1">
      <alignment horizontal="center"/>
    </xf>
    <xf numFmtId="0" fontId="5" fillId="0" borderId="24" xfId="0" applyFont="1" applyBorder="1" applyAlignment="1">
      <alignment horizontal="center"/>
    </xf>
    <xf numFmtId="0" fontId="6" fillId="0" borderId="16" xfId="0" applyFont="1" applyBorder="1" applyAlignment="1">
      <alignment/>
    </xf>
    <xf numFmtId="0" fontId="6" fillId="0" borderId="0"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0" fontId="5" fillId="0" borderId="11" xfId="0" applyFont="1" applyBorder="1" applyAlignment="1">
      <alignment horizontal="center"/>
    </xf>
    <xf numFmtId="0" fontId="5" fillId="0" borderId="25" xfId="0" applyFont="1" applyBorder="1" applyAlignment="1">
      <alignment horizontal="center"/>
    </xf>
    <xf numFmtId="3" fontId="8" fillId="33" borderId="10" xfId="0" applyNumberFormat="1" applyFont="1" applyFill="1" applyBorder="1" applyAlignment="1" applyProtection="1">
      <alignment horizontal="center"/>
      <protection locked="0"/>
    </xf>
    <xf numFmtId="2" fontId="7" fillId="0" borderId="25" xfId="0" applyNumberFormat="1" applyFont="1" applyFill="1" applyBorder="1" applyAlignment="1" applyProtection="1">
      <alignment horizontal="center"/>
      <protection/>
    </xf>
    <xf numFmtId="0" fontId="53" fillId="0" borderId="20" xfId="0" applyFont="1" applyBorder="1" applyAlignment="1">
      <alignment horizontal="centerContinuous"/>
    </xf>
    <xf numFmtId="0" fontId="81" fillId="0" borderId="20" xfId="0" applyFont="1" applyBorder="1" applyAlignment="1">
      <alignment horizontal="centerContinuous"/>
    </xf>
    <xf numFmtId="0" fontId="82" fillId="0" borderId="0" xfId="0" applyFont="1" applyAlignment="1">
      <alignment/>
    </xf>
    <xf numFmtId="49" fontId="0" fillId="38" borderId="18" xfId="0" applyNumberFormat="1" applyFont="1" applyFill="1" applyBorder="1" applyAlignment="1" applyProtection="1">
      <alignment/>
      <protection/>
    </xf>
    <xf numFmtId="2" fontId="0" fillId="33" borderId="32" xfId="0" applyNumberFormat="1" applyFont="1" applyFill="1" applyBorder="1" applyAlignment="1" applyProtection="1">
      <alignment horizontal="center"/>
      <protection locked="0"/>
    </xf>
    <xf numFmtId="3" fontId="1" fillId="33" borderId="10" xfId="0" applyNumberFormat="1" applyFont="1" applyFill="1" applyBorder="1" applyAlignment="1" applyProtection="1">
      <alignment horizontal="center"/>
      <protection locked="0"/>
    </xf>
    <xf numFmtId="170" fontId="16" fillId="33" borderId="17" xfId="0" applyNumberFormat="1" applyFont="1" applyFill="1" applyBorder="1" applyAlignment="1" applyProtection="1">
      <alignment horizontal="center"/>
      <protection locked="0"/>
    </xf>
    <xf numFmtId="170" fontId="16" fillId="33" borderId="63" xfId="0" applyNumberFormat="1" applyFont="1" applyFill="1" applyBorder="1" applyAlignment="1" applyProtection="1">
      <alignment horizontal="center"/>
      <protection locked="0"/>
    </xf>
    <xf numFmtId="0" fontId="52" fillId="38" borderId="28" xfId="0" applyFont="1" applyFill="1" applyBorder="1" applyAlignment="1" applyProtection="1">
      <alignment horizontal="right"/>
      <protection/>
    </xf>
    <xf numFmtId="14" fontId="55" fillId="0" borderId="0" xfId="0" applyNumberFormat="1" applyFont="1" applyFill="1" applyBorder="1" applyAlignment="1" applyProtection="1">
      <alignment horizontal="center" vertical="center"/>
      <protection/>
    </xf>
    <xf numFmtId="14" fontId="11" fillId="0" borderId="0" xfId="0" applyNumberFormat="1" applyFont="1" applyFill="1" applyBorder="1" applyAlignment="1" applyProtection="1">
      <alignment horizontal="center" vertical="center"/>
      <protection/>
    </xf>
    <xf numFmtId="14" fontId="11" fillId="0" borderId="0" xfId="0" applyNumberFormat="1" applyFont="1" applyFill="1" applyBorder="1" applyAlignment="1" applyProtection="1">
      <alignment horizontal="centerContinuous" vertical="center"/>
      <protection/>
    </xf>
    <xf numFmtId="0" fontId="0" fillId="0" borderId="0" xfId="0" applyFill="1" applyBorder="1" applyAlignment="1" applyProtection="1">
      <alignment horizontal="centerContinuous"/>
      <protection/>
    </xf>
    <xf numFmtId="0" fontId="65" fillId="38" borderId="0" xfId="0" applyFont="1" applyFill="1" applyAlignment="1" applyProtection="1">
      <alignment/>
      <protection/>
    </xf>
    <xf numFmtId="0" fontId="7" fillId="0" borderId="22" xfId="0" applyFont="1" applyFill="1" applyBorder="1" applyAlignment="1">
      <alignment horizontal="center"/>
    </xf>
    <xf numFmtId="0" fontId="10" fillId="0" borderId="0" xfId="0" applyFont="1" applyAlignment="1" applyProtection="1">
      <alignment/>
      <protection/>
    </xf>
    <xf numFmtId="0" fontId="7" fillId="0" borderId="0" xfId="0" applyFont="1" applyBorder="1" applyAlignment="1" applyProtection="1">
      <alignment vertical="center"/>
      <protection/>
    </xf>
    <xf numFmtId="2" fontId="7" fillId="0" borderId="0" xfId="0" applyNumberFormat="1" applyFont="1" applyBorder="1" applyAlignment="1" applyProtection="1">
      <alignment horizontal="center" vertical="center"/>
      <protection/>
    </xf>
    <xf numFmtId="0" fontId="56" fillId="0" borderId="20" xfId="0" applyFont="1" applyBorder="1" applyAlignment="1" applyProtection="1">
      <alignment/>
      <protection/>
    </xf>
    <xf numFmtId="0" fontId="33" fillId="0" borderId="20" xfId="0" applyFont="1" applyBorder="1" applyAlignment="1" applyProtection="1">
      <alignment/>
      <protection/>
    </xf>
    <xf numFmtId="0" fontId="33" fillId="0" borderId="18" xfId="0" applyFont="1" applyBorder="1" applyAlignment="1" applyProtection="1">
      <alignment/>
      <protection/>
    </xf>
    <xf numFmtId="0" fontId="33" fillId="0" borderId="19" xfId="0" applyFont="1" applyBorder="1" applyAlignment="1" applyProtection="1">
      <alignment/>
      <protection/>
    </xf>
    <xf numFmtId="0" fontId="56" fillId="0" borderId="18" xfId="0" applyFont="1" applyBorder="1" applyAlignment="1">
      <alignment/>
    </xf>
    <xf numFmtId="2" fontId="33" fillId="0" borderId="32" xfId="0" applyNumberFormat="1" applyFont="1" applyFill="1" applyBorder="1" applyAlignment="1" applyProtection="1">
      <alignment horizontal="center"/>
      <protection/>
    </xf>
    <xf numFmtId="0" fontId="56" fillId="0" borderId="12" xfId="0" applyFont="1" applyBorder="1" applyAlignment="1" applyProtection="1">
      <alignment/>
      <protection/>
    </xf>
    <xf numFmtId="169" fontId="56" fillId="0" borderId="41" xfId="0" applyNumberFormat="1" applyFont="1" applyFill="1" applyBorder="1" applyAlignment="1" applyProtection="1">
      <alignment horizontal="center"/>
      <protection/>
    </xf>
    <xf numFmtId="0" fontId="33" fillId="0" borderId="17" xfId="0" applyFont="1" applyBorder="1" applyAlignment="1" applyProtection="1">
      <alignment/>
      <protection/>
    </xf>
    <xf numFmtId="0" fontId="33" fillId="0" borderId="27" xfId="0" applyFont="1" applyBorder="1" applyAlignment="1" applyProtection="1">
      <alignment/>
      <protection/>
    </xf>
    <xf numFmtId="0" fontId="33" fillId="0" borderId="14" xfId="0" applyFont="1" applyBorder="1" applyAlignment="1" applyProtection="1">
      <alignment/>
      <protection/>
    </xf>
    <xf numFmtId="0" fontId="33" fillId="0" borderId="17" xfId="0" applyFont="1" applyBorder="1" applyAlignment="1" applyProtection="1">
      <alignment horizontal="left"/>
      <protection/>
    </xf>
    <xf numFmtId="0" fontId="33" fillId="0" borderId="21" xfId="0" applyFont="1" applyBorder="1" applyAlignment="1" applyProtection="1">
      <alignment horizontal="center"/>
      <protection/>
    </xf>
    <xf numFmtId="2" fontId="33" fillId="0" borderId="23" xfId="0" applyNumberFormat="1" applyFont="1" applyFill="1" applyBorder="1" applyAlignment="1" applyProtection="1">
      <alignment horizontal="center"/>
      <protection/>
    </xf>
    <xf numFmtId="0" fontId="33" fillId="0" borderId="14" xfId="0" applyFont="1" applyBorder="1" applyAlignment="1" applyProtection="1">
      <alignment horizontal="left"/>
      <protection/>
    </xf>
    <xf numFmtId="169" fontId="56" fillId="0" borderId="56" xfId="0" applyNumberFormat="1" applyFont="1" applyFill="1" applyBorder="1" applyAlignment="1" applyProtection="1">
      <alignment horizontal="center"/>
      <protection/>
    </xf>
    <xf numFmtId="173" fontId="64" fillId="0" borderId="23" xfId="59" applyNumberFormat="1" applyFont="1" applyBorder="1" applyAlignment="1">
      <alignment horizontal="center"/>
    </xf>
    <xf numFmtId="2" fontId="4" fillId="0" borderId="0" xfId="0" applyNumberFormat="1" applyFont="1" applyAlignment="1">
      <alignment/>
    </xf>
    <xf numFmtId="0" fontId="52" fillId="0" borderId="31" xfId="0" applyFont="1" applyBorder="1" applyAlignment="1">
      <alignment horizontal="left"/>
    </xf>
    <xf numFmtId="9" fontId="4" fillId="0" borderId="0" xfId="51" applyFont="1" applyAlignment="1">
      <alignment/>
    </xf>
    <xf numFmtId="9" fontId="4" fillId="0" borderId="0" xfId="0" applyNumberFormat="1" applyFont="1" applyAlignment="1">
      <alignment/>
    </xf>
    <xf numFmtId="177" fontId="31" fillId="35" borderId="24" xfId="0" applyNumberFormat="1" applyFont="1" applyFill="1" applyBorder="1" applyAlignment="1" applyProtection="1">
      <alignment horizontal="center"/>
      <protection/>
    </xf>
    <xf numFmtId="177" fontId="31" fillId="35" borderId="31" xfId="0" applyNumberFormat="1" applyFont="1" applyFill="1" applyBorder="1" applyAlignment="1" applyProtection="1">
      <alignment horizontal="centerContinuous"/>
      <protection/>
    </xf>
    <xf numFmtId="178" fontId="31" fillId="35" borderId="41" xfId="0" applyNumberFormat="1" applyFont="1" applyFill="1" applyBorder="1" applyAlignment="1" applyProtection="1">
      <alignment horizontal="center" vertical="center"/>
      <protection/>
    </xf>
    <xf numFmtId="178" fontId="31" fillId="35" borderId="53" xfId="0" applyNumberFormat="1" applyFont="1" applyFill="1" applyBorder="1" applyAlignment="1" applyProtection="1">
      <alignment horizontal="centerContinuous" vertical="center"/>
      <protection/>
    </xf>
    <xf numFmtId="178" fontId="31" fillId="35" borderId="24" xfId="0" applyNumberFormat="1" applyFont="1" applyFill="1" applyBorder="1" applyAlignment="1" applyProtection="1">
      <alignment horizontal="center" vertical="center"/>
      <protection/>
    </xf>
    <xf numFmtId="178" fontId="31" fillId="35" borderId="31" xfId="0" applyNumberFormat="1" applyFont="1" applyFill="1" applyBorder="1" applyAlignment="1" applyProtection="1">
      <alignment horizontal="centerContinuous" vertical="center"/>
      <protection/>
    </xf>
    <xf numFmtId="178" fontId="28" fillId="34" borderId="41" xfId="0" applyNumberFormat="1" applyFont="1" applyFill="1" applyBorder="1" applyAlignment="1" applyProtection="1">
      <alignment horizontal="center"/>
      <protection/>
    </xf>
    <xf numFmtId="178" fontId="28" fillId="34" borderId="53" xfId="0" applyNumberFormat="1" applyFont="1" applyFill="1" applyBorder="1" applyAlignment="1" applyProtection="1">
      <alignment horizontal="centerContinuous"/>
      <protection/>
    </xf>
    <xf numFmtId="178" fontId="24" fillId="34" borderId="28" xfId="0" applyNumberFormat="1" applyFont="1" applyFill="1" applyBorder="1" applyAlignment="1" applyProtection="1">
      <alignment horizontal="center"/>
      <protection/>
    </xf>
    <xf numFmtId="178" fontId="25" fillId="34" borderId="28" xfId="0" applyNumberFormat="1" applyFont="1" applyFill="1" applyBorder="1" applyAlignment="1" applyProtection="1">
      <alignment horizontal="center"/>
      <protection/>
    </xf>
    <xf numFmtId="178" fontId="25" fillId="34" borderId="0" xfId="0" applyNumberFormat="1" applyFont="1" applyFill="1" applyBorder="1" applyAlignment="1" applyProtection="1">
      <alignment horizontal="centerContinuous"/>
      <protection/>
    </xf>
    <xf numFmtId="177" fontId="25" fillId="37" borderId="28" xfId="0" applyNumberFormat="1" applyFont="1" applyFill="1" applyBorder="1" applyAlignment="1" applyProtection="1">
      <alignment horizontal="center"/>
      <protection/>
    </xf>
    <xf numFmtId="177" fontId="25" fillId="37" borderId="0" xfId="0" applyNumberFormat="1" applyFont="1" applyFill="1" applyBorder="1" applyAlignment="1" applyProtection="1">
      <alignment horizontal="centerContinuous"/>
      <protection/>
    </xf>
    <xf numFmtId="177" fontId="41" fillId="37" borderId="24" xfId="0" applyNumberFormat="1" applyFont="1" applyFill="1" applyBorder="1" applyAlignment="1" applyProtection="1">
      <alignment horizontal="center"/>
      <protection/>
    </xf>
    <xf numFmtId="177" fontId="41" fillId="37" borderId="31" xfId="0" applyNumberFormat="1" applyFont="1" applyFill="1" applyBorder="1" applyAlignment="1" applyProtection="1">
      <alignment horizontal="centerContinuous"/>
      <protection/>
    </xf>
    <xf numFmtId="178" fontId="28" fillId="37" borderId="28" xfId="0" applyNumberFormat="1" applyFont="1" applyFill="1" applyBorder="1" applyAlignment="1" applyProtection="1">
      <alignment horizontal="center"/>
      <protection/>
    </xf>
    <xf numFmtId="178" fontId="28" fillId="37" borderId="0" xfId="0" applyNumberFormat="1" applyFont="1" applyFill="1" applyBorder="1" applyAlignment="1" applyProtection="1">
      <alignment horizontal="centerContinuous"/>
      <protection/>
    </xf>
    <xf numFmtId="178" fontId="31" fillId="34" borderId="28" xfId="0" applyNumberFormat="1" applyFont="1" applyFill="1" applyBorder="1" applyAlignment="1" applyProtection="1">
      <alignment horizontal="center"/>
      <protection/>
    </xf>
    <xf numFmtId="178" fontId="31" fillId="34" borderId="0" xfId="0" applyNumberFormat="1" applyFont="1" applyFill="1" applyBorder="1" applyAlignment="1" applyProtection="1">
      <alignment horizontal="centerContinuous"/>
      <protection/>
    </xf>
    <xf numFmtId="0" fontId="52" fillId="33" borderId="47" xfId="0" applyFont="1" applyFill="1" applyBorder="1" applyAlignment="1" applyProtection="1">
      <alignment horizontal="center"/>
      <protection locked="0"/>
    </xf>
    <xf numFmtId="0" fontId="6" fillId="33" borderId="47" xfId="0" applyFont="1" applyFill="1" applyBorder="1" applyAlignment="1" applyProtection="1">
      <alignment horizontal="center"/>
      <protection locked="0"/>
    </xf>
    <xf numFmtId="0" fontId="21" fillId="38" borderId="0" xfId="0" applyFont="1" applyFill="1" applyAlignment="1" applyProtection="1">
      <alignment horizontal="right" vertical="center"/>
      <protection/>
    </xf>
    <xf numFmtId="172" fontId="56" fillId="33" borderId="32" xfId="51" applyNumberFormat="1" applyFont="1" applyFill="1" applyBorder="1" applyAlignment="1" applyProtection="1">
      <alignment horizontal="center"/>
      <protection locked="0"/>
    </xf>
    <xf numFmtId="172" fontId="56" fillId="33" borderId="10" xfId="51" applyNumberFormat="1" applyFont="1" applyFill="1" applyBorder="1" applyAlignment="1" applyProtection="1">
      <alignment horizontal="center"/>
      <protection locked="0"/>
    </xf>
    <xf numFmtId="172" fontId="56" fillId="33" borderId="23" xfId="51" applyNumberFormat="1" applyFont="1" applyFill="1" applyBorder="1" applyAlignment="1" applyProtection="1">
      <alignment horizontal="center"/>
      <protection locked="0"/>
    </xf>
    <xf numFmtId="172" fontId="7" fillId="33" borderId="32" xfId="51" applyNumberFormat="1" applyFont="1" applyFill="1" applyBorder="1" applyAlignment="1" applyProtection="1">
      <alignment horizontal="center"/>
      <protection locked="0"/>
    </xf>
    <xf numFmtId="172" fontId="7" fillId="33" borderId="10" xfId="51" applyNumberFormat="1" applyFont="1" applyFill="1" applyBorder="1" applyAlignment="1" applyProtection="1">
      <alignment horizontal="center"/>
      <protection locked="0"/>
    </xf>
    <xf numFmtId="172" fontId="7" fillId="33" borderId="23" xfId="51" applyNumberFormat="1" applyFont="1" applyFill="1" applyBorder="1" applyAlignment="1" applyProtection="1">
      <alignment horizontal="center"/>
      <protection locked="0"/>
    </xf>
    <xf numFmtId="172" fontId="56" fillId="0" borderId="64" xfId="51" applyNumberFormat="1" applyFont="1" applyFill="1" applyBorder="1" applyAlignment="1" applyProtection="1">
      <alignment horizontal="center"/>
      <protection/>
    </xf>
    <xf numFmtId="172" fontId="7" fillId="0" borderId="64" xfId="51" applyNumberFormat="1" applyFont="1" applyFill="1" applyBorder="1" applyAlignment="1" applyProtection="1">
      <alignment horizontal="center"/>
      <protection/>
    </xf>
    <xf numFmtId="3" fontId="28" fillId="0" borderId="0" xfId="0" applyNumberFormat="1" applyFont="1" applyFill="1" applyBorder="1" applyAlignment="1" applyProtection="1">
      <alignment horizontal="center"/>
      <protection/>
    </xf>
    <xf numFmtId="3" fontId="28" fillId="0" borderId="0" xfId="0" applyNumberFormat="1" applyFont="1" applyFill="1" applyBorder="1" applyAlignment="1" applyProtection="1">
      <alignment horizontal="centerContinuous"/>
      <protection/>
    </xf>
    <xf numFmtId="0" fontId="30" fillId="0" borderId="22" xfId="0" applyFont="1" applyFill="1" applyBorder="1" applyAlignment="1">
      <alignment horizontal="center"/>
    </xf>
    <xf numFmtId="49" fontId="55" fillId="0" borderId="22" xfId="0" applyNumberFormat="1" applyFont="1" applyFill="1" applyBorder="1" applyAlignment="1" applyProtection="1">
      <alignment horizontal="center" vertical="center"/>
      <protection/>
    </xf>
    <xf numFmtId="14" fontId="10" fillId="0" borderId="0" xfId="0" applyNumberFormat="1" applyFont="1" applyFill="1" applyBorder="1" applyAlignment="1" applyProtection="1">
      <alignment horizontal="right" vertical="center"/>
      <protection/>
    </xf>
    <xf numFmtId="14" fontId="33" fillId="0" borderId="0" xfId="0" applyNumberFormat="1" applyFont="1" applyFill="1" applyBorder="1" applyAlignment="1" applyProtection="1">
      <alignment horizontal="right" vertical="center"/>
      <protection/>
    </xf>
    <xf numFmtId="0" fontId="67" fillId="0" borderId="14" xfId="0" applyFont="1" applyBorder="1" applyAlignment="1">
      <alignment horizontal="center"/>
    </xf>
    <xf numFmtId="0" fontId="66" fillId="0" borderId="11" xfId="0" applyFont="1" applyBorder="1" applyAlignment="1">
      <alignment horizontal="center"/>
    </xf>
    <xf numFmtId="0" fontId="67" fillId="0" borderId="42" xfId="0" applyFont="1" applyBorder="1" applyAlignment="1">
      <alignment horizontal="center"/>
    </xf>
    <xf numFmtId="0" fontId="66" fillId="0" borderId="23" xfId="0" applyFont="1" applyBorder="1" applyAlignment="1">
      <alignment horizontal="center"/>
    </xf>
    <xf numFmtId="0" fontId="37" fillId="0" borderId="21" xfId="0" applyFont="1" applyBorder="1" applyAlignment="1">
      <alignment horizontal="center"/>
    </xf>
    <xf numFmtId="0" fontId="37" fillId="0" borderId="41" xfId="0" applyFont="1" applyBorder="1" applyAlignment="1">
      <alignment horizontal="center"/>
    </xf>
    <xf numFmtId="0" fontId="5" fillId="0" borderId="20"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17" xfId="0" applyFont="1" applyBorder="1" applyAlignment="1">
      <alignment/>
    </xf>
    <xf numFmtId="0" fontId="5" fillId="0" borderId="27" xfId="0" applyFont="1" applyBorder="1" applyAlignment="1">
      <alignment/>
    </xf>
    <xf numFmtId="0" fontId="5" fillId="0" borderId="21" xfId="0" applyFont="1" applyBorder="1" applyAlignment="1">
      <alignment/>
    </xf>
    <xf numFmtId="169" fontId="7" fillId="0" borderId="65" xfId="0" applyNumberFormat="1" applyFont="1" applyFill="1" applyBorder="1" applyAlignment="1" applyProtection="1">
      <alignment horizontal="center"/>
      <protection/>
    </xf>
    <xf numFmtId="1" fontId="0" fillId="0" borderId="10" xfId="0" applyNumberFormat="1" applyBorder="1" applyAlignment="1" applyProtection="1">
      <alignment horizontal="center"/>
      <protection/>
    </xf>
    <xf numFmtId="169" fontId="56" fillId="0" borderId="0" xfId="0" applyNumberFormat="1" applyFont="1" applyAlignment="1" applyProtection="1">
      <alignment horizontal="center"/>
      <protection/>
    </xf>
    <xf numFmtId="2" fontId="0" fillId="0" borderId="10" xfId="0" applyNumberFormat="1" applyFont="1" applyBorder="1" applyAlignment="1" applyProtection="1">
      <alignment horizontal="center"/>
      <protection/>
    </xf>
    <xf numFmtId="0" fontId="23" fillId="0" borderId="22" xfId="0" applyFont="1" applyFill="1" applyBorder="1" applyAlignment="1">
      <alignment horizontal="center"/>
    </xf>
    <xf numFmtId="49" fontId="24" fillId="0" borderId="22" xfId="0" applyNumberFormat="1" applyFont="1" applyFill="1" applyBorder="1" applyAlignment="1" applyProtection="1">
      <alignment horizontal="centerContinuous" vertical="center"/>
      <protection/>
    </xf>
    <xf numFmtId="0" fontId="0" fillId="38" borderId="31" xfId="0" applyFont="1" applyFill="1" applyBorder="1" applyAlignment="1" applyProtection="1">
      <alignment horizontal="right"/>
      <protection/>
    </xf>
    <xf numFmtId="172" fontId="33" fillId="0" borderId="32" xfId="0" applyNumberFormat="1" applyFont="1" applyFill="1" applyBorder="1" applyAlignment="1" applyProtection="1">
      <alignment horizontal="center"/>
      <protection/>
    </xf>
    <xf numFmtId="9" fontId="33" fillId="0" borderId="23" xfId="51" applyFont="1" applyFill="1" applyBorder="1" applyAlignment="1" applyProtection="1">
      <alignment horizontal="center"/>
      <protection/>
    </xf>
    <xf numFmtId="172" fontId="56" fillId="0" borderId="66" xfId="51" applyNumberFormat="1" applyFont="1" applyFill="1" applyBorder="1" applyAlignment="1" applyProtection="1">
      <alignment horizontal="center"/>
      <protection/>
    </xf>
    <xf numFmtId="172" fontId="56" fillId="0" borderId="48" xfId="51" applyNumberFormat="1" applyFont="1" applyFill="1" applyBorder="1" applyAlignment="1" applyProtection="1">
      <alignment horizontal="center"/>
      <protection/>
    </xf>
    <xf numFmtId="172" fontId="7" fillId="0" borderId="66" xfId="51" applyNumberFormat="1" applyFont="1" applyFill="1" applyBorder="1" applyAlignment="1" applyProtection="1">
      <alignment horizontal="center"/>
      <protection/>
    </xf>
    <xf numFmtId="172" fontId="7" fillId="0" borderId="48" xfId="51" applyNumberFormat="1" applyFont="1" applyFill="1" applyBorder="1" applyAlignment="1" applyProtection="1">
      <alignment horizontal="center"/>
      <protection/>
    </xf>
    <xf numFmtId="172" fontId="7" fillId="0" borderId="32" xfId="51" applyNumberFormat="1" applyFont="1" applyFill="1" applyBorder="1" applyAlignment="1" applyProtection="1">
      <alignment horizontal="center"/>
      <protection/>
    </xf>
    <xf numFmtId="172" fontId="7" fillId="0" borderId="23" xfId="51" applyNumberFormat="1" applyFont="1" applyFill="1" applyBorder="1" applyAlignment="1" applyProtection="1">
      <alignment horizontal="center"/>
      <protection/>
    </xf>
    <xf numFmtId="170" fontId="8" fillId="0" borderId="32" xfId="0" applyNumberFormat="1" applyFont="1" applyFill="1" applyBorder="1" applyAlignment="1" applyProtection="1">
      <alignment horizontal="center"/>
      <protection/>
    </xf>
    <xf numFmtId="169" fontId="4" fillId="0" borderId="0" xfId="0" applyNumberFormat="1" applyFont="1" applyAlignment="1" applyProtection="1">
      <alignment horizontal="center" vertical="center"/>
      <protection/>
    </xf>
    <xf numFmtId="1" fontId="7" fillId="0" borderId="10" xfId="0" applyNumberFormat="1" applyFont="1" applyBorder="1" applyAlignment="1" applyProtection="1">
      <alignment horizontal="center"/>
      <protection/>
    </xf>
    <xf numFmtId="0" fontId="7" fillId="36" borderId="23" xfId="0" applyFont="1" applyFill="1" applyBorder="1" applyAlignment="1">
      <alignment horizontal="center"/>
    </xf>
    <xf numFmtId="169" fontId="4" fillId="0" borderId="0" xfId="0" applyNumberFormat="1" applyFont="1" applyFill="1" applyBorder="1" applyAlignment="1" applyProtection="1">
      <alignment horizontal="center"/>
      <protection/>
    </xf>
    <xf numFmtId="2" fontId="7" fillId="0" borderId="10" xfId="0" applyNumberFormat="1" applyFont="1" applyBorder="1" applyAlignment="1">
      <alignment horizontal="center"/>
    </xf>
    <xf numFmtId="0" fontId="7" fillId="38" borderId="31" xfId="0" applyFont="1" applyFill="1" applyBorder="1" applyAlignment="1" applyProtection="1">
      <alignment horizontal="right"/>
      <protection/>
    </xf>
    <xf numFmtId="0" fontId="7" fillId="36" borderId="28" xfId="0" applyFont="1" applyFill="1" applyBorder="1" applyAlignment="1">
      <alignment/>
    </xf>
    <xf numFmtId="2" fontId="7" fillId="33" borderId="28" xfId="0" applyNumberFormat="1" applyFont="1" applyFill="1" applyBorder="1" applyAlignment="1" applyProtection="1">
      <alignment horizontal="center"/>
      <protection locked="0"/>
    </xf>
    <xf numFmtId="2" fontId="7" fillId="33" borderId="0" xfId="0" applyNumberFormat="1" applyFont="1" applyFill="1" applyBorder="1" applyAlignment="1" applyProtection="1">
      <alignment horizontal="center"/>
      <protection locked="0"/>
    </xf>
    <xf numFmtId="0" fontId="0" fillId="0" borderId="10" xfId="0" applyBorder="1" applyAlignment="1">
      <alignment/>
    </xf>
    <xf numFmtId="0" fontId="0" fillId="0" borderId="27" xfId="0" applyBorder="1" applyAlignment="1">
      <alignment/>
    </xf>
    <xf numFmtId="0" fontId="0" fillId="0" borderId="23" xfId="0" applyBorder="1" applyAlignment="1">
      <alignment/>
    </xf>
    <xf numFmtId="0" fontId="7" fillId="38" borderId="28" xfId="0" applyFont="1" applyFill="1" applyBorder="1" applyAlignment="1" applyProtection="1">
      <alignment horizontal="right"/>
      <protection/>
    </xf>
    <xf numFmtId="0" fontId="7" fillId="0" borderId="12" xfId="0" applyFont="1" applyBorder="1" applyAlignment="1" applyProtection="1">
      <alignment/>
      <protection/>
    </xf>
    <xf numFmtId="0" fontId="0" fillId="0" borderId="14" xfId="0" applyBorder="1" applyAlignment="1">
      <alignment/>
    </xf>
    <xf numFmtId="0" fontId="21" fillId="38" borderId="18" xfId="0" applyFont="1" applyFill="1" applyBorder="1" applyAlignment="1" applyProtection="1">
      <alignment horizontal="left"/>
      <protection/>
    </xf>
    <xf numFmtId="0" fontId="21" fillId="38" borderId="27" xfId="0" applyFont="1" applyFill="1" applyBorder="1" applyAlignment="1" applyProtection="1">
      <alignment/>
      <protection/>
    </xf>
    <xf numFmtId="0" fontId="83" fillId="0" borderId="18" xfId="0" applyFont="1" applyBorder="1" applyAlignment="1" applyProtection="1">
      <alignment horizontal="left"/>
      <protection/>
    </xf>
    <xf numFmtId="170" fontId="30" fillId="38" borderId="31" xfId="0" applyNumberFormat="1" applyFont="1" applyFill="1" applyBorder="1" applyAlignment="1" applyProtection="1">
      <alignment horizontal="center" vertical="center"/>
      <protection/>
    </xf>
    <xf numFmtId="170" fontId="30" fillId="38" borderId="31" xfId="0" applyNumberFormat="1" applyFont="1" applyFill="1" applyBorder="1" applyAlignment="1" applyProtection="1">
      <alignment horizontal="centerContinuous" vertical="center"/>
      <protection/>
    </xf>
    <xf numFmtId="170" fontId="30" fillId="38" borderId="26" xfId="0" applyNumberFormat="1" applyFont="1" applyFill="1" applyBorder="1" applyAlignment="1" applyProtection="1">
      <alignment horizontal="centerContinuous" vertical="center"/>
      <protection/>
    </xf>
    <xf numFmtId="1" fontId="0" fillId="38" borderId="25" xfId="0" applyNumberFormat="1" applyFont="1" applyFill="1" applyBorder="1" applyAlignment="1" applyProtection="1">
      <alignment horizontal="center"/>
      <protection/>
    </xf>
    <xf numFmtId="0" fontId="5" fillId="0" borderId="15" xfId="0" applyFont="1" applyBorder="1" applyAlignment="1" applyProtection="1">
      <alignment/>
      <protection/>
    </xf>
    <xf numFmtId="0" fontId="5" fillId="0" borderId="31" xfId="0" applyFont="1" applyBorder="1" applyAlignment="1" applyProtection="1">
      <alignment/>
      <protection/>
    </xf>
    <xf numFmtId="0" fontId="5" fillId="0" borderId="24" xfId="0" applyFont="1" applyBorder="1" applyAlignment="1" applyProtection="1">
      <alignment/>
      <protection/>
    </xf>
    <xf numFmtId="170" fontId="5" fillId="0" borderId="24" xfId="0" applyNumberFormat="1" applyFont="1" applyFill="1" applyBorder="1" applyAlignment="1" applyProtection="1">
      <alignment horizontal="center"/>
      <protection/>
    </xf>
    <xf numFmtId="170" fontId="5" fillId="0" borderId="31" xfId="0" applyNumberFormat="1" applyFont="1" applyFill="1" applyBorder="1" applyAlignment="1" applyProtection="1">
      <alignment horizontal="centerContinuous"/>
      <protection/>
    </xf>
    <xf numFmtId="0" fontId="5" fillId="0" borderId="26" xfId="0" applyFont="1" applyFill="1" applyBorder="1" applyAlignment="1" applyProtection="1">
      <alignment horizontal="centerContinuous"/>
      <protection/>
    </xf>
    <xf numFmtId="0" fontId="11" fillId="0" borderId="0" xfId="0" applyFont="1" applyBorder="1" applyAlignment="1" applyProtection="1">
      <alignment horizontal="right" vertical="center"/>
      <protection/>
    </xf>
    <xf numFmtId="170" fontId="68" fillId="0" borderId="39" xfId="0" applyNumberFormat="1" applyFont="1" applyBorder="1" applyAlignment="1">
      <alignment horizontal="center"/>
    </xf>
    <xf numFmtId="170" fontId="64" fillId="0" borderId="39" xfId="0" applyNumberFormat="1" applyFont="1" applyBorder="1" applyAlignment="1">
      <alignment horizontal="center"/>
    </xf>
    <xf numFmtId="170" fontId="65" fillId="0" borderId="61" xfId="0" applyNumberFormat="1" applyFont="1" applyBorder="1" applyAlignment="1">
      <alignment horizontal="center"/>
    </xf>
    <xf numFmtId="170" fontId="4" fillId="38" borderId="24" xfId="0" applyNumberFormat="1" applyFont="1" applyFill="1" applyBorder="1" applyAlignment="1" applyProtection="1">
      <alignment horizontal="center"/>
      <protection/>
    </xf>
    <xf numFmtId="172" fontId="69" fillId="0" borderId="26" xfId="51" applyNumberFormat="1" applyFont="1" applyBorder="1" applyAlignment="1">
      <alignment horizontal="center"/>
    </xf>
    <xf numFmtId="0" fontId="86" fillId="0" borderId="45" xfId="0" applyFont="1" applyBorder="1" applyAlignment="1">
      <alignment/>
    </xf>
    <xf numFmtId="0" fontId="86" fillId="0" borderId="28" xfId="0" applyFont="1" applyBorder="1" applyAlignment="1">
      <alignment horizontal="center"/>
    </xf>
    <xf numFmtId="0" fontId="86" fillId="0" borderId="0" xfId="0" applyFont="1" applyBorder="1" applyAlignment="1">
      <alignment horizontal="center"/>
    </xf>
    <xf numFmtId="174" fontId="87" fillId="0" borderId="28" xfId="59" applyNumberFormat="1" applyFont="1" applyBorder="1" applyAlignment="1">
      <alignment horizontal="center"/>
    </xf>
    <xf numFmtId="0" fontId="1" fillId="0" borderId="0" xfId="0" applyFont="1" applyAlignment="1">
      <alignment/>
    </xf>
    <xf numFmtId="0" fontId="89" fillId="0" borderId="20" xfId="0" applyFont="1" applyBorder="1" applyAlignment="1">
      <alignment horizontal="centerContinuous"/>
    </xf>
    <xf numFmtId="0" fontId="89" fillId="0" borderId="18" xfId="0" applyFont="1" applyBorder="1" applyAlignment="1">
      <alignment horizontal="centerContinuous"/>
    </xf>
    <xf numFmtId="0" fontId="20" fillId="0" borderId="18" xfId="0" applyFont="1" applyBorder="1" applyAlignment="1">
      <alignment horizontal="centerContinuous"/>
    </xf>
    <xf numFmtId="0" fontId="20" fillId="0" borderId="12" xfId="0" applyFont="1" applyBorder="1" applyAlignment="1">
      <alignment horizontal="centerContinuous"/>
    </xf>
    <xf numFmtId="0" fontId="20" fillId="0" borderId="0" xfId="0" applyFont="1" applyAlignment="1">
      <alignment/>
    </xf>
    <xf numFmtId="0" fontId="20" fillId="0" borderId="14" xfId="0" applyFont="1" applyBorder="1" applyAlignment="1">
      <alignment horizontal="centerContinuous"/>
    </xf>
    <xf numFmtId="180" fontId="4" fillId="38" borderId="0" xfId="0" applyNumberFormat="1" applyFont="1" applyFill="1" applyBorder="1" applyAlignment="1" applyProtection="1">
      <alignment horizontal="right"/>
      <protection/>
    </xf>
    <xf numFmtId="182" fontId="30" fillId="38" borderId="57" xfId="0" applyNumberFormat="1" applyFont="1" applyFill="1" applyBorder="1" applyAlignment="1" applyProtection="1">
      <alignment horizontal="center"/>
      <protection/>
    </xf>
    <xf numFmtId="4" fontId="30" fillId="38" borderId="56" xfId="0" applyNumberFormat="1" applyFont="1" applyFill="1" applyBorder="1" applyAlignment="1" applyProtection="1">
      <alignment horizontal="center"/>
      <protection/>
    </xf>
    <xf numFmtId="4" fontId="30" fillId="38" borderId="56" xfId="0" applyNumberFormat="1" applyFont="1" applyFill="1" applyBorder="1" applyAlignment="1" applyProtection="1">
      <alignment horizontal="centerContinuous"/>
      <protection/>
    </xf>
    <xf numFmtId="184" fontId="33" fillId="38" borderId="0" xfId="0" applyNumberFormat="1" applyFont="1" applyFill="1" applyBorder="1" applyAlignment="1" applyProtection="1">
      <alignment vertical="center"/>
      <protection/>
    </xf>
    <xf numFmtId="183" fontId="33" fillId="38" borderId="28" xfId="0" applyNumberFormat="1" applyFont="1" applyFill="1" applyBorder="1" applyAlignment="1" applyProtection="1">
      <alignment horizontal="left" vertical="center"/>
      <protection/>
    </xf>
    <xf numFmtId="180" fontId="5" fillId="38" borderId="0" xfId="0" applyNumberFormat="1" applyFont="1" applyFill="1" applyBorder="1" applyAlignment="1" applyProtection="1">
      <alignment horizontal="right"/>
      <protection/>
    </xf>
    <xf numFmtId="179" fontId="5" fillId="38" borderId="28" xfId="0" applyNumberFormat="1" applyFont="1" applyFill="1" applyBorder="1" applyAlignment="1" applyProtection="1">
      <alignment horizontal="center"/>
      <protection/>
    </xf>
    <xf numFmtId="181" fontId="23" fillId="38" borderId="41" xfId="0" applyNumberFormat="1" applyFont="1" applyFill="1" applyBorder="1" applyAlignment="1" applyProtection="1">
      <alignment/>
      <protection/>
    </xf>
    <xf numFmtId="182" fontId="23" fillId="38" borderId="53" xfId="0" applyNumberFormat="1" applyFont="1" applyFill="1" applyBorder="1" applyAlignment="1" applyProtection="1">
      <alignment horizontal="right"/>
      <protection/>
    </xf>
    <xf numFmtId="0" fontId="6" fillId="0" borderId="40" xfId="0" applyFont="1" applyBorder="1" applyAlignment="1" applyProtection="1">
      <alignment/>
      <protection/>
    </xf>
    <xf numFmtId="2" fontId="57" fillId="39" borderId="10" xfId="0" applyNumberFormat="1" applyFont="1" applyFill="1" applyBorder="1" applyAlignment="1" applyProtection="1">
      <alignment horizontal="center"/>
      <protection locked="0"/>
    </xf>
    <xf numFmtId="0" fontId="90" fillId="0" borderId="0" xfId="0" applyFont="1" applyBorder="1" applyAlignment="1" applyProtection="1">
      <alignment/>
      <protection/>
    </xf>
    <xf numFmtId="0" fontId="91" fillId="0" borderId="0" xfId="0" applyFont="1" applyAlignment="1" applyProtection="1">
      <alignment/>
      <protection/>
    </xf>
    <xf numFmtId="168" fontId="92" fillId="0" borderId="41" xfId="0" applyNumberFormat="1" applyFont="1" applyFill="1" applyBorder="1" applyAlignment="1" applyProtection="1">
      <alignment horizontal="center"/>
      <protection/>
    </xf>
    <xf numFmtId="168" fontId="92" fillId="0" borderId="65" xfId="0" applyNumberFormat="1" applyFont="1" applyFill="1" applyBorder="1" applyAlignment="1" applyProtection="1">
      <alignment horizontal="center"/>
      <protection/>
    </xf>
    <xf numFmtId="2" fontId="1" fillId="33" borderId="10" xfId="0" applyNumberFormat="1" applyFont="1" applyFill="1" applyBorder="1" applyAlignment="1" applyProtection="1">
      <alignment horizontal="center"/>
      <protection locked="0"/>
    </xf>
    <xf numFmtId="2" fontId="1" fillId="33" borderId="25" xfId="0" applyNumberFormat="1" applyFont="1" applyFill="1" applyBorder="1" applyAlignment="1" applyProtection="1">
      <alignment horizontal="center"/>
      <protection locked="0"/>
    </xf>
    <xf numFmtId="170" fontId="0" fillId="33" borderId="23" xfId="0" applyNumberFormat="1" applyFont="1" applyFill="1" applyBorder="1" applyAlignment="1" applyProtection="1">
      <alignment horizontal="center"/>
      <protection locked="0"/>
    </xf>
    <xf numFmtId="0" fontId="0" fillId="41" borderId="23" xfId="0" applyFont="1" applyFill="1" applyBorder="1" applyAlignment="1" applyProtection="1">
      <alignment/>
      <protection/>
    </xf>
    <xf numFmtId="0" fontId="0" fillId="0" borderId="25" xfId="0" applyBorder="1" applyAlignment="1" applyProtection="1">
      <alignment horizontal="center" vertical="center"/>
      <protection/>
    </xf>
    <xf numFmtId="0" fontId="0" fillId="41" borderId="11" xfId="0" applyFont="1" applyFill="1" applyBorder="1" applyAlignment="1" applyProtection="1">
      <alignment/>
      <protection/>
    </xf>
    <xf numFmtId="1" fontId="0" fillId="41" borderId="10" xfId="0" applyNumberFormat="1" applyFill="1" applyBorder="1" applyAlignment="1" applyProtection="1">
      <alignment horizontal="center"/>
      <protection/>
    </xf>
    <xf numFmtId="0" fontId="0" fillId="41" borderId="13" xfId="0" applyFont="1" applyFill="1" applyBorder="1" applyAlignment="1" applyProtection="1">
      <alignment/>
      <protection/>
    </xf>
    <xf numFmtId="1" fontId="1" fillId="38" borderId="10" xfId="0" applyNumberFormat="1" applyFont="1" applyFill="1" applyBorder="1" applyAlignment="1" applyProtection="1">
      <alignment horizontal="center"/>
      <protection/>
    </xf>
    <xf numFmtId="172" fontId="0" fillId="33" borderId="25" xfId="51" applyNumberFormat="1" applyFont="1" applyFill="1" applyBorder="1" applyAlignment="1" applyProtection="1">
      <alignment horizontal="center"/>
      <protection locked="0"/>
    </xf>
    <xf numFmtId="0" fontId="0" fillId="41" borderId="10" xfId="0" applyFill="1" applyBorder="1" applyAlignment="1" applyProtection="1">
      <alignment vertical="center"/>
      <protection/>
    </xf>
    <xf numFmtId="0" fontId="27" fillId="41" borderId="13" xfId="0" applyFont="1" applyFill="1" applyBorder="1" applyAlignment="1" applyProtection="1">
      <alignment/>
      <protection/>
    </xf>
    <xf numFmtId="0" fontId="27" fillId="41" borderId="23" xfId="0" applyFont="1" applyFill="1" applyBorder="1" applyAlignment="1" applyProtection="1">
      <alignment/>
      <protection/>
    </xf>
    <xf numFmtId="0" fontId="4" fillId="0" borderId="0" xfId="0" applyFont="1" applyBorder="1" applyAlignment="1" applyProtection="1">
      <alignment horizontal="left" vertical="top"/>
      <protection/>
    </xf>
    <xf numFmtId="0" fontId="4" fillId="0" borderId="0" xfId="0" applyFont="1" applyAlignment="1">
      <alignment horizontal="left" vertical="top"/>
    </xf>
    <xf numFmtId="0" fontId="7" fillId="41" borderId="28" xfId="0" applyFont="1" applyFill="1" applyBorder="1" applyAlignment="1" applyProtection="1">
      <alignment/>
      <protection/>
    </xf>
    <xf numFmtId="0" fontId="0" fillId="41" borderId="27" xfId="0" applyFill="1" applyBorder="1" applyAlignment="1">
      <alignment/>
    </xf>
    <xf numFmtId="0" fontId="0" fillId="41" borderId="23" xfId="0" applyFill="1" applyBorder="1" applyAlignment="1">
      <alignment/>
    </xf>
    <xf numFmtId="0" fontId="0" fillId="41" borderId="14" xfId="0" applyFill="1" applyBorder="1" applyAlignment="1">
      <alignment/>
    </xf>
    <xf numFmtId="0" fontId="4" fillId="0" borderId="24" xfId="0" applyFont="1" applyBorder="1" applyAlignment="1" applyProtection="1">
      <alignment horizontal="center" vertical="center"/>
      <protection/>
    </xf>
    <xf numFmtId="0" fontId="7" fillId="41" borderId="13" xfId="0" applyFont="1" applyFill="1" applyBorder="1" applyAlignment="1" applyProtection="1">
      <alignment/>
      <protection/>
    </xf>
    <xf numFmtId="1" fontId="8" fillId="0" borderId="10" xfId="0" applyNumberFormat="1" applyFont="1" applyFill="1" applyBorder="1" applyAlignment="1" applyProtection="1">
      <alignment horizontal="center"/>
      <protection/>
    </xf>
    <xf numFmtId="2" fontId="7" fillId="33" borderId="28" xfId="0" applyNumberFormat="1" applyFont="1" applyFill="1" applyBorder="1" applyAlignment="1" applyProtection="1">
      <alignment horizontal="center"/>
      <protection locked="0"/>
    </xf>
    <xf numFmtId="2" fontId="7" fillId="33" borderId="19" xfId="0" applyNumberFormat="1" applyFont="1" applyFill="1" applyBorder="1" applyAlignment="1" applyProtection="1">
      <alignment horizontal="center"/>
      <protection locked="0"/>
    </xf>
    <xf numFmtId="170" fontId="7" fillId="33" borderId="23" xfId="0" applyNumberFormat="1" applyFont="1" applyFill="1" applyBorder="1" applyAlignment="1" applyProtection="1">
      <alignment horizontal="center"/>
      <protection locked="0"/>
    </xf>
    <xf numFmtId="4" fontId="28" fillId="0" borderId="27" xfId="0" applyNumberFormat="1" applyFont="1" applyFill="1" applyBorder="1" applyAlignment="1" applyProtection="1">
      <alignment horizontal="centerContinuous"/>
      <protection/>
    </xf>
    <xf numFmtId="0" fontId="0" fillId="38" borderId="15" xfId="0" applyFont="1" applyFill="1" applyBorder="1" applyAlignment="1">
      <alignment/>
    </xf>
    <xf numFmtId="0" fontId="0" fillId="38" borderId="17" xfId="0" applyFont="1" applyFill="1" applyBorder="1" applyAlignment="1" applyProtection="1">
      <alignment/>
      <protection/>
    </xf>
    <xf numFmtId="170" fontId="57" fillId="33" borderId="23" xfId="0" applyNumberFormat="1" applyFont="1" applyFill="1" applyBorder="1" applyAlignment="1" applyProtection="1">
      <alignment horizontal="center"/>
      <protection locked="0"/>
    </xf>
    <xf numFmtId="14" fontId="15" fillId="0" borderId="49" xfId="0" applyNumberFormat="1" applyFont="1" applyBorder="1" applyAlignment="1">
      <alignment/>
    </xf>
    <xf numFmtId="8" fontId="31" fillId="38" borderId="41" xfId="0" applyNumberFormat="1" applyFont="1" applyFill="1" applyBorder="1" applyAlignment="1" applyProtection="1">
      <alignment horizontal="left" wrapText="1"/>
      <protection/>
    </xf>
    <xf numFmtId="0" fontId="42" fillId="0" borderId="0" xfId="0" applyFont="1" applyFill="1" applyAlignment="1" applyProtection="1">
      <alignment/>
      <protection/>
    </xf>
    <xf numFmtId="0" fontId="4" fillId="0" borderId="0" xfId="0" applyFont="1" applyFill="1" applyAlignment="1">
      <alignment horizontal="right" vertical="center"/>
    </xf>
    <xf numFmtId="0" fontId="0" fillId="38" borderId="16" xfId="0" applyFont="1" applyFill="1" applyBorder="1" applyAlignment="1" applyProtection="1">
      <alignment/>
      <protection/>
    </xf>
    <xf numFmtId="0" fontId="0" fillId="38" borderId="16" xfId="0" applyFont="1" applyFill="1" applyBorder="1" applyAlignment="1" applyProtection="1">
      <alignment/>
      <protection/>
    </xf>
    <xf numFmtId="179" fontId="4" fillId="38" borderId="28" xfId="0" applyNumberFormat="1" applyFont="1" applyFill="1" applyBorder="1" applyAlignment="1" applyProtection="1">
      <alignment horizontal="left"/>
      <protection/>
    </xf>
    <xf numFmtId="181" fontId="30" fillId="38" borderId="56" xfId="0" applyNumberFormat="1" applyFont="1" applyFill="1" applyBorder="1" applyAlignment="1" applyProtection="1">
      <alignment horizontal="left"/>
      <protection/>
    </xf>
    <xf numFmtId="179" fontId="5" fillId="38" borderId="28" xfId="0" applyNumberFormat="1" applyFont="1" applyFill="1" applyBorder="1" applyAlignment="1" applyProtection="1">
      <alignment horizontal="left"/>
      <protection/>
    </xf>
    <xf numFmtId="181" fontId="23" fillId="38" borderId="41" xfId="0" applyNumberFormat="1" applyFont="1" applyFill="1" applyBorder="1" applyAlignment="1" applyProtection="1">
      <alignment horizontal="left"/>
      <protection/>
    </xf>
    <xf numFmtId="0" fontId="4" fillId="0" borderId="0" xfId="0" applyFont="1" applyBorder="1" applyAlignment="1" applyProtection="1">
      <alignment/>
      <protection/>
    </xf>
    <xf numFmtId="0" fontId="0" fillId="0" borderId="0" xfId="0" applyFont="1" applyBorder="1" applyAlignment="1" applyProtection="1">
      <alignment/>
      <protection/>
    </xf>
    <xf numFmtId="0" fontId="162" fillId="0" borderId="0" xfId="0" applyFont="1" applyAlignment="1" applyProtection="1">
      <alignment vertical="center"/>
      <protection/>
    </xf>
    <xf numFmtId="0" fontId="162" fillId="0" borderId="0" xfId="0" applyFont="1" applyAlignment="1">
      <alignment vertical="center"/>
    </xf>
    <xf numFmtId="0" fontId="163" fillId="0" borderId="0" xfId="0" applyFont="1" applyAlignment="1" applyProtection="1">
      <alignment vertical="center"/>
      <protection/>
    </xf>
    <xf numFmtId="0" fontId="164" fillId="0" borderId="0" xfId="0" applyFont="1" applyAlignment="1">
      <alignment horizontal="right" vertical="center"/>
    </xf>
    <xf numFmtId="0" fontId="165" fillId="39" borderId="22" xfId="0" applyFont="1" applyFill="1" applyBorder="1" applyAlignment="1" applyProtection="1">
      <alignment horizontal="center" vertical="center"/>
      <protection locked="0"/>
    </xf>
    <xf numFmtId="0" fontId="163" fillId="0" borderId="0" xfId="0" applyFont="1" applyAlignment="1">
      <alignment vertical="center"/>
    </xf>
    <xf numFmtId="0" fontId="166" fillId="0" borderId="22" xfId="0" applyFont="1" applyFill="1" applyBorder="1" applyAlignment="1">
      <alignment horizontal="center"/>
    </xf>
    <xf numFmtId="0" fontId="167" fillId="0" borderId="0" xfId="0" applyFont="1" applyAlignment="1" applyProtection="1">
      <alignment horizontal="left" vertical="center"/>
      <protection/>
    </xf>
    <xf numFmtId="0" fontId="167" fillId="0" borderId="0" xfId="0" applyFont="1" applyAlignment="1" applyProtection="1">
      <alignment horizontal="right" vertical="center"/>
      <protection/>
    </xf>
    <xf numFmtId="0" fontId="167" fillId="0" borderId="0" xfId="0" applyFont="1" applyAlignment="1">
      <alignment horizontal="right" vertical="center"/>
    </xf>
    <xf numFmtId="0" fontId="167" fillId="39" borderId="22" xfId="0" applyFont="1" applyFill="1" applyBorder="1" applyAlignment="1" applyProtection="1">
      <alignment horizontal="center" vertical="center"/>
      <protection locked="0"/>
    </xf>
    <xf numFmtId="0" fontId="167" fillId="0" borderId="22" xfId="0" applyFont="1" applyFill="1" applyBorder="1" applyAlignment="1">
      <alignment horizontal="center"/>
    </xf>
    <xf numFmtId="0" fontId="168" fillId="0" borderId="0" xfId="0" applyFont="1" applyAlignment="1">
      <alignment vertical="center"/>
    </xf>
    <xf numFmtId="0" fontId="168" fillId="0" borderId="0" xfId="0" applyFont="1" applyAlignment="1">
      <alignment horizontal="right" vertical="center"/>
    </xf>
    <xf numFmtId="0" fontId="169" fillId="39" borderId="22" xfId="0" applyFont="1" applyFill="1" applyBorder="1" applyAlignment="1" applyProtection="1">
      <alignment horizontal="center" vertical="center"/>
      <protection locked="0"/>
    </xf>
    <xf numFmtId="0" fontId="169" fillId="0" borderId="22" xfId="0" applyFont="1" applyFill="1" applyBorder="1" applyAlignment="1">
      <alignment horizontal="center"/>
    </xf>
    <xf numFmtId="0" fontId="170" fillId="0" borderId="0" xfId="0" applyFont="1" applyAlignment="1" applyProtection="1">
      <alignment horizontal="right" vertical="center"/>
      <protection/>
    </xf>
    <xf numFmtId="0" fontId="170" fillId="0" borderId="0" xfId="0" applyFont="1" applyAlignment="1">
      <alignment horizontal="right" vertical="center"/>
    </xf>
    <xf numFmtId="0" fontId="170" fillId="39" borderId="22" xfId="0" applyFont="1" applyFill="1" applyBorder="1" applyAlignment="1" applyProtection="1">
      <alignment horizontal="center" vertical="center"/>
      <protection locked="0"/>
    </xf>
    <xf numFmtId="0" fontId="171" fillId="0" borderId="22" xfId="0" applyFont="1" applyFill="1" applyBorder="1" applyAlignment="1">
      <alignment horizontal="center"/>
    </xf>
    <xf numFmtId="0" fontId="0" fillId="38" borderId="20" xfId="0" applyFont="1" applyFill="1" applyBorder="1" applyAlignment="1" applyProtection="1">
      <alignment horizontal="left"/>
      <protection/>
    </xf>
    <xf numFmtId="0" fontId="83" fillId="0" borderId="27" xfId="0" applyFont="1" applyBorder="1" applyAlignment="1" applyProtection="1">
      <alignment/>
      <protection/>
    </xf>
    <xf numFmtId="9" fontId="172" fillId="0" borderId="27" xfId="51" applyFont="1" applyBorder="1" applyAlignment="1" applyProtection="1">
      <alignment horizontal="left"/>
      <protection/>
    </xf>
    <xf numFmtId="0" fontId="83" fillId="0" borderId="27" xfId="0" applyFont="1" applyBorder="1" applyAlignment="1" applyProtection="1">
      <alignment horizontal="left"/>
      <protection/>
    </xf>
    <xf numFmtId="9" fontId="173" fillId="0" borderId="27" xfId="51" applyFont="1" applyBorder="1" applyAlignment="1" applyProtection="1">
      <alignment horizontal="left"/>
      <protection/>
    </xf>
    <xf numFmtId="49" fontId="174" fillId="0" borderId="50" xfId="0" applyNumberFormat="1" applyFont="1" applyBorder="1" applyAlignment="1">
      <alignment horizontal="center"/>
    </xf>
    <xf numFmtId="0" fontId="0" fillId="38" borderId="15" xfId="0" applyFont="1" applyFill="1" applyBorder="1" applyAlignment="1" applyProtection="1">
      <alignment/>
      <protection/>
    </xf>
    <xf numFmtId="0" fontId="0" fillId="38" borderId="0" xfId="0" applyFont="1" applyFill="1" applyBorder="1" applyAlignment="1">
      <alignment/>
    </xf>
    <xf numFmtId="0" fontId="0" fillId="0" borderId="0" xfId="0" applyFont="1" applyAlignment="1">
      <alignment horizontal="left" vertical="center"/>
    </xf>
    <xf numFmtId="0" fontId="0" fillId="0" borderId="0" xfId="0" applyFont="1" applyAlignment="1">
      <alignment vertical="center"/>
    </xf>
    <xf numFmtId="9" fontId="173" fillId="0" borderId="21" xfId="51" applyFont="1" applyBorder="1" applyAlignment="1" applyProtection="1">
      <alignment horizontal="left"/>
      <protection/>
    </xf>
    <xf numFmtId="0" fontId="7" fillId="42" borderId="67" xfId="0" applyFont="1" applyFill="1" applyBorder="1" applyAlignment="1">
      <alignment/>
    </xf>
    <xf numFmtId="0" fontId="64" fillId="42" borderId="62" xfId="0" applyFont="1" applyFill="1" applyBorder="1" applyAlignment="1">
      <alignment horizontal="center" wrapText="1"/>
    </xf>
    <xf numFmtId="0" fontId="65" fillId="42" borderId="51" xfId="0" applyFont="1" applyFill="1" applyBorder="1" applyAlignment="1">
      <alignment horizontal="center" wrapText="1"/>
    </xf>
    <xf numFmtId="0" fontId="7" fillId="42" borderId="18" xfId="0" applyFont="1" applyFill="1" applyBorder="1" applyAlignment="1">
      <alignment/>
    </xf>
    <xf numFmtId="0" fontId="7" fillId="42" borderId="32" xfId="0" applyFont="1" applyFill="1" applyBorder="1" applyAlignment="1">
      <alignment/>
    </xf>
    <xf numFmtId="0" fontId="7" fillId="42" borderId="0" xfId="0" applyFont="1" applyFill="1" applyBorder="1" applyAlignment="1">
      <alignment/>
    </xf>
    <xf numFmtId="0" fontId="7" fillId="42" borderId="10" xfId="0" applyFont="1" applyFill="1" applyBorder="1" applyAlignment="1">
      <alignment/>
    </xf>
    <xf numFmtId="0" fontId="7" fillId="42" borderId="52" xfId="0" applyFont="1" applyFill="1" applyBorder="1" applyAlignment="1">
      <alignment/>
    </xf>
    <xf numFmtId="0" fontId="7" fillId="42" borderId="68" xfId="0" applyFont="1" applyFill="1" applyBorder="1" applyAlignment="1">
      <alignment horizontal="center"/>
    </xf>
    <xf numFmtId="170" fontId="64" fillId="42" borderId="43" xfId="0" applyNumberFormat="1" applyFont="1" applyFill="1" applyBorder="1" applyAlignment="1">
      <alignment horizontal="center"/>
    </xf>
    <xf numFmtId="0" fontId="7" fillId="42" borderId="69" xfId="0" applyFont="1" applyFill="1" applyBorder="1" applyAlignment="1">
      <alignment/>
    </xf>
    <xf numFmtId="0" fontId="7" fillId="42" borderId="70" xfId="0" applyFont="1" applyFill="1" applyBorder="1" applyAlignment="1">
      <alignment horizontal="center"/>
    </xf>
    <xf numFmtId="176" fontId="65" fillId="42" borderId="71" xfId="0" applyNumberFormat="1" applyFont="1" applyFill="1" applyBorder="1" applyAlignment="1">
      <alignment horizontal="center"/>
    </xf>
    <xf numFmtId="0" fontId="7" fillId="42" borderId="10" xfId="0" applyFont="1" applyFill="1" applyBorder="1" applyAlignment="1">
      <alignment horizontal="center"/>
    </xf>
    <xf numFmtId="173" fontId="66" fillId="42" borderId="28" xfId="0" applyNumberFormat="1" applyFont="1" applyFill="1" applyBorder="1" applyAlignment="1">
      <alignment horizontal="center"/>
    </xf>
    <xf numFmtId="173" fontId="67" fillId="42" borderId="13" xfId="0" applyNumberFormat="1" applyFont="1" applyFill="1" applyBorder="1" applyAlignment="1">
      <alignment horizontal="center"/>
    </xf>
    <xf numFmtId="0" fontId="0" fillId="42" borderId="0" xfId="0" applyFill="1" applyAlignment="1">
      <alignment/>
    </xf>
    <xf numFmtId="174" fontId="66" fillId="42" borderId="28" xfId="59" applyNumberFormat="1" applyFont="1" applyFill="1" applyBorder="1" applyAlignment="1">
      <alignment horizontal="center"/>
    </xf>
    <xf numFmtId="174" fontId="67" fillId="42" borderId="13" xfId="59" applyNumberFormat="1" applyFont="1" applyFill="1" applyBorder="1" applyAlignment="1">
      <alignment horizontal="center"/>
    </xf>
    <xf numFmtId="0" fontId="7" fillId="42" borderId="31" xfId="0" applyFont="1" applyFill="1" applyBorder="1" applyAlignment="1">
      <alignment/>
    </xf>
    <xf numFmtId="0" fontId="7" fillId="42" borderId="25" xfId="0" applyFont="1" applyFill="1" applyBorder="1" applyAlignment="1">
      <alignment horizontal="center"/>
    </xf>
    <xf numFmtId="170" fontId="66" fillId="42" borderId="24" xfId="59" applyNumberFormat="1" applyFont="1" applyFill="1" applyBorder="1" applyAlignment="1">
      <alignment horizontal="center"/>
    </xf>
    <xf numFmtId="170" fontId="67" fillId="42" borderId="26" xfId="59" applyNumberFormat="1" applyFont="1" applyFill="1" applyBorder="1" applyAlignment="1">
      <alignment horizontal="center"/>
    </xf>
    <xf numFmtId="0" fontId="8" fillId="42" borderId="0" xfId="0" applyFont="1" applyFill="1" applyBorder="1" applyAlignment="1">
      <alignment/>
    </xf>
    <xf numFmtId="0" fontId="8" fillId="42" borderId="10" xfId="0" applyFont="1" applyFill="1" applyBorder="1" applyAlignment="1">
      <alignment horizontal="center"/>
    </xf>
    <xf numFmtId="174" fontId="64" fillId="42" borderId="28" xfId="59" applyNumberFormat="1" applyFont="1" applyFill="1" applyBorder="1" applyAlignment="1">
      <alignment horizontal="center"/>
    </xf>
    <xf numFmtId="174" fontId="65" fillId="42" borderId="13" xfId="59" applyNumberFormat="1" applyFont="1" applyFill="1" applyBorder="1" applyAlignment="1">
      <alignment horizontal="center"/>
    </xf>
    <xf numFmtId="9" fontId="66" fillId="42" borderId="24" xfId="51" applyFont="1" applyFill="1" applyBorder="1" applyAlignment="1">
      <alignment horizontal="center"/>
    </xf>
    <xf numFmtId="9" fontId="67" fillId="42" borderId="26" xfId="51" applyFont="1" applyFill="1" applyBorder="1" applyAlignment="1">
      <alignment horizontal="center"/>
    </xf>
    <xf numFmtId="173" fontId="66" fillId="42" borderId="28" xfId="59" applyNumberFormat="1" applyFont="1" applyFill="1" applyBorder="1" applyAlignment="1">
      <alignment horizontal="center"/>
    </xf>
    <xf numFmtId="173" fontId="67" fillId="42" borderId="13" xfId="59" applyNumberFormat="1" applyFont="1" applyFill="1" applyBorder="1" applyAlignment="1">
      <alignment horizontal="center"/>
    </xf>
    <xf numFmtId="172" fontId="66" fillId="42" borderId="24" xfId="59" applyNumberFormat="1" applyFont="1" applyFill="1" applyBorder="1" applyAlignment="1">
      <alignment horizontal="center"/>
    </xf>
    <xf numFmtId="172" fontId="67" fillId="42" borderId="26" xfId="59" applyNumberFormat="1" applyFont="1" applyFill="1" applyBorder="1" applyAlignment="1">
      <alignment horizontal="center"/>
    </xf>
    <xf numFmtId="0" fontId="7" fillId="42" borderId="0" xfId="0" applyFont="1" applyFill="1" applyBorder="1" applyAlignment="1">
      <alignment horizontal="left"/>
    </xf>
    <xf numFmtId="173" fontId="64" fillId="42" borderId="28" xfId="59" applyNumberFormat="1" applyFont="1" applyFill="1" applyBorder="1" applyAlignment="1">
      <alignment horizontal="center"/>
    </xf>
    <xf numFmtId="0" fontId="0" fillId="42" borderId="0" xfId="0" applyFill="1" applyBorder="1" applyAlignment="1">
      <alignment/>
    </xf>
    <xf numFmtId="0" fontId="7" fillId="42" borderId="0" xfId="0" applyFont="1" applyFill="1" applyBorder="1" applyAlignment="1">
      <alignment horizontal="center"/>
    </xf>
    <xf numFmtId="173" fontId="65" fillId="42" borderId="13" xfId="59" applyNumberFormat="1" applyFont="1" applyFill="1" applyBorder="1" applyAlignment="1">
      <alignment horizontal="center"/>
    </xf>
    <xf numFmtId="0" fontId="7" fillId="42" borderId="27" xfId="0" applyFont="1" applyFill="1" applyBorder="1" applyAlignment="1">
      <alignment horizontal="center"/>
    </xf>
    <xf numFmtId="0" fontId="7" fillId="42" borderId="27" xfId="0" applyFont="1" applyFill="1" applyBorder="1" applyAlignment="1">
      <alignment horizontal="left"/>
    </xf>
    <xf numFmtId="0" fontId="7" fillId="42" borderId="27" xfId="0" applyFont="1" applyFill="1" applyBorder="1" applyAlignment="1">
      <alignment/>
    </xf>
    <xf numFmtId="0" fontId="7" fillId="42" borderId="23" xfId="0" applyFont="1" applyFill="1" applyBorder="1" applyAlignment="1">
      <alignment horizontal="center"/>
    </xf>
    <xf numFmtId="173" fontId="65" fillId="42" borderId="14" xfId="59" applyNumberFormat="1" applyFont="1" applyFill="1" applyBorder="1" applyAlignment="1">
      <alignment horizontal="center"/>
    </xf>
    <xf numFmtId="173" fontId="66" fillId="43" borderId="10" xfId="59" applyNumberFormat="1" applyFont="1" applyFill="1" applyBorder="1" applyAlignment="1">
      <alignment horizontal="center"/>
    </xf>
    <xf numFmtId="173" fontId="66" fillId="43" borderId="23" xfId="59" applyNumberFormat="1" applyFont="1" applyFill="1" applyBorder="1" applyAlignment="1">
      <alignment horizontal="center"/>
    </xf>
    <xf numFmtId="172" fontId="67" fillId="43" borderId="13" xfId="59" applyNumberFormat="1" applyFont="1" applyFill="1" applyBorder="1" applyAlignment="1">
      <alignment horizontal="center"/>
    </xf>
    <xf numFmtId="173" fontId="67" fillId="43" borderId="13" xfId="59" applyNumberFormat="1" applyFont="1" applyFill="1" applyBorder="1" applyAlignment="1">
      <alignment horizontal="center"/>
    </xf>
    <xf numFmtId="172" fontId="66" fillId="43" borderId="28" xfId="59" applyNumberFormat="1" applyFont="1" applyFill="1" applyBorder="1" applyAlignment="1">
      <alignment horizontal="center"/>
    </xf>
    <xf numFmtId="0" fontId="7" fillId="43" borderId="10" xfId="0" applyFont="1" applyFill="1" applyBorder="1" applyAlignment="1">
      <alignment horizontal="center"/>
    </xf>
    <xf numFmtId="170" fontId="67" fillId="43" borderId="72" xfId="0" applyNumberFormat="1" applyFont="1" applyFill="1" applyBorder="1" applyAlignment="1">
      <alignment horizontal="center"/>
    </xf>
    <xf numFmtId="170" fontId="66" fillId="43" borderId="73" xfId="0" applyNumberFormat="1" applyFont="1" applyFill="1" applyBorder="1" applyAlignment="1">
      <alignment horizontal="center"/>
    </xf>
    <xf numFmtId="0" fontId="7" fillId="42" borderId="49" xfId="0" applyFont="1" applyFill="1" applyBorder="1" applyAlignment="1">
      <alignment/>
    </xf>
    <xf numFmtId="0" fontId="7" fillId="42" borderId="20" xfId="0" applyFont="1" applyFill="1" applyBorder="1" applyAlignment="1">
      <alignment/>
    </xf>
    <xf numFmtId="0" fontId="7" fillId="42" borderId="16" xfId="0" applyFont="1" applyFill="1" applyBorder="1" applyAlignment="1">
      <alignment/>
    </xf>
    <xf numFmtId="0" fontId="7" fillId="42" borderId="74" xfId="0" applyFont="1" applyFill="1" applyBorder="1" applyAlignment="1">
      <alignment/>
    </xf>
    <xf numFmtId="0" fontId="7" fillId="42" borderId="75" xfId="0" applyFont="1" applyFill="1" applyBorder="1" applyAlignment="1">
      <alignment/>
    </xf>
    <xf numFmtId="0" fontId="7" fillId="42" borderId="15" xfId="0" applyFont="1" applyFill="1" applyBorder="1" applyAlignment="1">
      <alignment/>
    </xf>
    <xf numFmtId="0" fontId="8" fillId="42" borderId="16" xfId="0" applyFont="1" applyFill="1" applyBorder="1" applyAlignment="1">
      <alignment/>
    </xf>
    <xf numFmtId="0" fontId="7" fillId="42" borderId="17" xfId="0" applyFont="1" applyFill="1" applyBorder="1" applyAlignment="1">
      <alignment/>
    </xf>
    <xf numFmtId="0" fontId="27" fillId="38" borderId="13" xfId="0" applyFont="1" applyFill="1" applyBorder="1" applyAlignment="1">
      <alignment/>
    </xf>
    <xf numFmtId="0" fontId="27" fillId="44" borderId="16" xfId="0" applyFont="1" applyFill="1" applyBorder="1" applyAlignment="1" applyProtection="1">
      <alignment/>
      <protection/>
    </xf>
    <xf numFmtId="0" fontId="27" fillId="44" borderId="28" xfId="0" applyFont="1" applyFill="1" applyBorder="1" applyAlignment="1" applyProtection="1">
      <alignment/>
      <protection/>
    </xf>
    <xf numFmtId="2" fontId="57" fillId="44" borderId="10" xfId="0" applyNumberFormat="1" applyFont="1" applyFill="1" applyBorder="1" applyAlignment="1" applyProtection="1">
      <alignment horizontal="center"/>
      <protection/>
    </xf>
    <xf numFmtId="0" fontId="27" fillId="44" borderId="13" xfId="0" applyFont="1" applyFill="1" applyBorder="1" applyAlignment="1" applyProtection="1">
      <alignment/>
      <protection/>
    </xf>
    <xf numFmtId="0" fontId="0" fillId="38" borderId="0" xfId="0" applyFont="1" applyFill="1" applyBorder="1" applyAlignment="1" applyProtection="1">
      <alignment/>
      <protection/>
    </xf>
    <xf numFmtId="14" fontId="61" fillId="45" borderId="22" xfId="0" applyNumberFormat="1" applyFont="1" applyFill="1" applyBorder="1" applyAlignment="1" applyProtection="1">
      <alignment horizontal="center" vertical="center"/>
      <protection/>
    </xf>
    <xf numFmtId="0" fontId="0" fillId="41" borderId="10" xfId="0" applyFont="1" applyFill="1" applyBorder="1" applyAlignment="1" applyProtection="1">
      <alignment/>
      <protection/>
    </xf>
    <xf numFmtId="170" fontId="0" fillId="33" borderId="10" xfId="0" applyNumberFormat="1" applyFont="1" applyFill="1" applyBorder="1" applyAlignment="1" applyProtection="1">
      <alignment horizontal="center"/>
      <protection locked="0"/>
    </xf>
    <xf numFmtId="0" fontId="0" fillId="0" borderId="23" xfId="0" applyBorder="1" applyAlignment="1">
      <alignment vertical="center"/>
    </xf>
    <xf numFmtId="0" fontId="0" fillId="0" borderId="14" xfId="0" applyBorder="1" applyAlignment="1">
      <alignment vertical="center"/>
    </xf>
    <xf numFmtId="4" fontId="4" fillId="38" borderId="28" xfId="0" applyNumberFormat="1" applyFont="1" applyFill="1" applyBorder="1" applyAlignment="1" applyProtection="1">
      <alignment horizontal="center"/>
      <protection/>
    </xf>
    <xf numFmtId="4" fontId="4" fillId="38" borderId="0" xfId="0" applyNumberFormat="1" applyFont="1" applyFill="1" applyBorder="1" applyAlignment="1" applyProtection="1">
      <alignment horizontal="centerContinuous"/>
      <protection/>
    </xf>
    <xf numFmtId="3" fontId="31" fillId="38" borderId="25" xfId="0" applyNumberFormat="1" applyFont="1" applyFill="1" applyBorder="1" applyAlignment="1" applyProtection="1">
      <alignment horizontal="center"/>
      <protection/>
    </xf>
    <xf numFmtId="3" fontId="31" fillId="38" borderId="10" xfId="0" applyNumberFormat="1" applyFont="1" applyFill="1" applyBorder="1" applyAlignment="1" applyProtection="1">
      <alignment horizontal="center"/>
      <protection/>
    </xf>
    <xf numFmtId="3" fontId="31" fillId="38" borderId="35" xfId="0" applyNumberFormat="1" applyFont="1" applyFill="1" applyBorder="1" applyAlignment="1" applyProtection="1">
      <alignment horizontal="centerContinuous"/>
      <protection/>
    </xf>
    <xf numFmtId="3" fontId="31" fillId="38" borderId="13" xfId="0" applyNumberFormat="1" applyFont="1" applyFill="1" applyBorder="1" applyAlignment="1" applyProtection="1">
      <alignment horizontal="centerContinuous"/>
      <protection/>
    </xf>
    <xf numFmtId="0" fontId="0" fillId="38" borderId="16" xfId="0" applyFont="1" applyFill="1" applyBorder="1" applyAlignment="1">
      <alignment/>
    </xf>
    <xf numFmtId="0" fontId="4" fillId="38" borderId="16" xfId="0" applyFont="1" applyFill="1" applyBorder="1" applyAlignment="1" applyProtection="1">
      <alignment/>
      <protection/>
    </xf>
    <xf numFmtId="0" fontId="4" fillId="38" borderId="0" xfId="0" applyFont="1" applyFill="1" applyBorder="1" applyAlignment="1" applyProtection="1">
      <alignment/>
      <protection/>
    </xf>
    <xf numFmtId="0" fontId="4" fillId="38" borderId="28" xfId="0" applyFont="1" applyFill="1" applyBorder="1"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9" fontId="4" fillId="0" borderId="0" xfId="51" applyNumberFormat="1" applyFont="1" applyAlignment="1">
      <alignment/>
    </xf>
    <xf numFmtId="0" fontId="5" fillId="0" borderId="0" xfId="0" applyFont="1" applyAlignment="1">
      <alignment/>
    </xf>
    <xf numFmtId="0" fontId="52" fillId="0" borderId="0" xfId="0" applyFont="1" applyAlignment="1" applyProtection="1">
      <alignment/>
      <protection/>
    </xf>
    <xf numFmtId="0" fontId="52" fillId="0" borderId="0" xfId="0" applyFont="1" applyAlignment="1">
      <alignment/>
    </xf>
    <xf numFmtId="2" fontId="52" fillId="0" borderId="0" xfId="0" applyNumberFormat="1" applyFont="1" applyAlignment="1">
      <alignment/>
    </xf>
    <xf numFmtId="0" fontId="4" fillId="38" borderId="13" xfId="0" applyFont="1" applyFill="1" applyBorder="1" applyAlignment="1" applyProtection="1">
      <alignment horizontal="centerContinuous"/>
      <protection/>
    </xf>
    <xf numFmtId="3" fontId="10" fillId="38" borderId="23" xfId="0" applyNumberFormat="1" applyFont="1" applyFill="1" applyBorder="1" applyAlignment="1" applyProtection="1">
      <alignment horizontal="center"/>
      <protection/>
    </xf>
    <xf numFmtId="3" fontId="10" fillId="38" borderId="76" xfId="0" applyNumberFormat="1" applyFont="1" applyFill="1" applyBorder="1" applyAlignment="1" applyProtection="1">
      <alignment horizontal="centerContinuous"/>
      <protection/>
    </xf>
    <xf numFmtId="3" fontId="10" fillId="38" borderId="14" xfId="0" applyNumberFormat="1" applyFont="1" applyFill="1" applyBorder="1" applyAlignment="1" applyProtection="1">
      <alignment horizontal="centerContinuous"/>
      <protection/>
    </xf>
    <xf numFmtId="3" fontId="10" fillId="38" borderId="32" xfId="0" applyNumberFormat="1" applyFont="1" applyFill="1" applyBorder="1" applyAlignment="1" applyProtection="1">
      <alignment horizontal="center"/>
      <protection/>
    </xf>
    <xf numFmtId="3" fontId="10" fillId="38" borderId="59" xfId="0" applyNumberFormat="1" applyFont="1" applyFill="1" applyBorder="1" applyAlignment="1" applyProtection="1">
      <alignment horizontal="centerContinuous"/>
      <protection/>
    </xf>
    <xf numFmtId="3" fontId="10" fillId="38" borderId="12" xfId="0" applyNumberFormat="1" applyFont="1" applyFill="1" applyBorder="1" applyAlignment="1" applyProtection="1">
      <alignment horizontal="centerContinuous"/>
      <protection/>
    </xf>
    <xf numFmtId="1" fontId="175" fillId="33" borderId="10" xfId="0" applyNumberFormat="1" applyFont="1" applyFill="1" applyBorder="1" applyAlignment="1" applyProtection="1">
      <alignment horizontal="center"/>
      <protection locked="0"/>
    </xf>
    <xf numFmtId="2" fontId="175" fillId="39" borderId="10" xfId="0" applyNumberFormat="1" applyFont="1" applyFill="1" applyBorder="1" applyAlignment="1" applyProtection="1">
      <alignment horizontal="center"/>
      <protection locked="0"/>
    </xf>
    <xf numFmtId="0" fontId="30" fillId="35" borderId="28" xfId="0" applyFont="1" applyFill="1" applyBorder="1" applyAlignment="1" applyProtection="1">
      <alignment/>
      <protection/>
    </xf>
    <xf numFmtId="0" fontId="30" fillId="35" borderId="28" xfId="0" applyFont="1" applyFill="1" applyBorder="1" applyAlignment="1" applyProtection="1">
      <alignment horizontal="center"/>
      <protection/>
    </xf>
    <xf numFmtId="0" fontId="30" fillId="34" borderId="28" xfId="0" applyFont="1" applyFill="1" applyBorder="1" applyAlignment="1" applyProtection="1">
      <alignment horizontal="left"/>
      <protection/>
    </xf>
    <xf numFmtId="0" fontId="30" fillId="34" borderId="28" xfId="0" applyFont="1" applyFill="1" applyBorder="1" applyAlignment="1" applyProtection="1">
      <alignment horizontal="center"/>
      <protection/>
    </xf>
    <xf numFmtId="178" fontId="55" fillId="34" borderId="28" xfId="0" applyNumberFormat="1" applyFont="1" applyFill="1" applyBorder="1" applyAlignment="1" applyProtection="1">
      <alignment horizontal="center"/>
      <protection/>
    </xf>
    <xf numFmtId="178" fontId="55" fillId="34" borderId="28" xfId="0" applyNumberFormat="1" applyFont="1" applyFill="1" applyBorder="1" applyAlignment="1" applyProtection="1">
      <alignment horizontal="centerContinuous"/>
      <protection/>
    </xf>
    <xf numFmtId="3" fontId="55" fillId="34" borderId="13" xfId="0" applyNumberFormat="1" applyFont="1" applyFill="1" applyBorder="1" applyAlignment="1" applyProtection="1">
      <alignment horizontal="centerContinuous"/>
      <protection/>
    </xf>
    <xf numFmtId="0" fontId="31" fillId="34" borderId="24" xfId="0" applyFont="1" applyFill="1" applyBorder="1" applyAlignment="1" applyProtection="1">
      <alignment horizontal="left"/>
      <protection/>
    </xf>
    <xf numFmtId="0" fontId="31" fillId="34" borderId="24" xfId="0" applyFont="1" applyFill="1" applyBorder="1" applyAlignment="1" applyProtection="1">
      <alignment horizontal="center"/>
      <protection/>
    </xf>
    <xf numFmtId="177" fontId="31" fillId="34" borderId="24" xfId="0" applyNumberFormat="1" applyFont="1" applyFill="1" applyBorder="1" applyAlignment="1" applyProtection="1">
      <alignment horizontal="center"/>
      <protection/>
    </xf>
    <xf numFmtId="177" fontId="31" fillId="34" borderId="24" xfId="0" applyNumberFormat="1" applyFont="1" applyFill="1" applyBorder="1" applyAlignment="1" applyProtection="1">
      <alignment horizontal="centerContinuous"/>
      <protection/>
    </xf>
    <xf numFmtId="3" fontId="31" fillId="34" borderId="26" xfId="0" applyNumberFormat="1" applyFont="1" applyFill="1" applyBorder="1" applyAlignment="1" applyProtection="1">
      <alignment horizontal="centerContinuous"/>
      <protection/>
    </xf>
    <xf numFmtId="0" fontId="55" fillId="35" borderId="0" xfId="0" applyFont="1" applyFill="1" applyBorder="1" applyAlignment="1" applyProtection="1">
      <alignment/>
      <protection/>
    </xf>
    <xf numFmtId="4" fontId="10" fillId="38" borderId="28" xfId="0" applyNumberFormat="1" applyFont="1" applyFill="1" applyBorder="1" applyAlignment="1" applyProtection="1">
      <alignment horizontal="center"/>
      <protection/>
    </xf>
    <xf numFmtId="0" fontId="55" fillId="38" borderId="23" xfId="0" applyFont="1" applyFill="1" applyBorder="1" applyAlignment="1" applyProtection="1">
      <alignment horizontal="center"/>
      <protection/>
    </xf>
    <xf numFmtId="2" fontId="57" fillId="33" borderId="25" xfId="0" applyNumberFormat="1" applyFont="1" applyFill="1" applyBorder="1" applyAlignment="1" applyProtection="1">
      <alignment horizontal="center"/>
      <protection locked="0"/>
    </xf>
    <xf numFmtId="0" fontId="7" fillId="38" borderId="16" xfId="0" applyFont="1" applyFill="1" applyBorder="1" applyAlignment="1" applyProtection="1">
      <alignment/>
      <protection/>
    </xf>
    <xf numFmtId="0" fontId="28" fillId="34" borderId="0" xfId="0" applyFont="1" applyFill="1" applyBorder="1" applyAlignment="1" applyProtection="1">
      <alignment/>
      <protection/>
    </xf>
    <xf numFmtId="0" fontId="23" fillId="34" borderId="28" xfId="0" applyFont="1" applyFill="1" applyBorder="1" applyAlignment="1" applyProtection="1">
      <alignment/>
      <protection/>
    </xf>
    <xf numFmtId="0" fontId="25" fillId="34" borderId="16" xfId="0" applyFont="1" applyFill="1" applyBorder="1" applyAlignment="1" applyProtection="1">
      <alignment/>
      <protection/>
    </xf>
    <xf numFmtId="0" fontId="25" fillId="34" borderId="24" xfId="0" applyFont="1" applyFill="1" applyBorder="1" applyAlignment="1" applyProtection="1">
      <alignment/>
      <protection/>
    </xf>
    <xf numFmtId="0" fontId="26" fillId="34" borderId="24" xfId="0" applyFont="1" applyFill="1" applyBorder="1" applyAlignment="1" applyProtection="1">
      <alignment horizontal="center"/>
      <protection/>
    </xf>
    <xf numFmtId="177" fontId="25" fillId="34" borderId="24" xfId="0" applyNumberFormat="1" applyFont="1" applyFill="1" applyBorder="1" applyAlignment="1" applyProtection="1">
      <alignment horizontal="center"/>
      <protection/>
    </xf>
    <xf numFmtId="177" fontId="25" fillId="34" borderId="31" xfId="0" applyNumberFormat="1" applyFont="1" applyFill="1" applyBorder="1" applyAlignment="1" applyProtection="1">
      <alignment horizontal="centerContinuous"/>
      <protection/>
    </xf>
    <xf numFmtId="3" fontId="25" fillId="34" borderId="26" xfId="0" applyNumberFormat="1" applyFont="1" applyFill="1" applyBorder="1" applyAlignment="1" applyProtection="1">
      <alignment horizontal="centerContinuous"/>
      <protection/>
    </xf>
    <xf numFmtId="0" fontId="27" fillId="38" borderId="0" xfId="0" applyFont="1" applyFill="1" applyBorder="1" applyAlignment="1" applyProtection="1">
      <alignment horizontal="left"/>
      <protection/>
    </xf>
    <xf numFmtId="0" fontId="0" fillId="38" borderId="15" xfId="0" applyFont="1" applyFill="1" applyBorder="1" applyAlignment="1">
      <alignment horizontal="left"/>
    </xf>
    <xf numFmtId="4" fontId="32" fillId="0" borderId="32" xfId="0" applyNumberFormat="1" applyFont="1" applyFill="1" applyBorder="1" applyAlignment="1" applyProtection="1">
      <alignment horizontal="center"/>
      <protection/>
    </xf>
    <xf numFmtId="4" fontId="32" fillId="0" borderId="18" xfId="0" applyNumberFormat="1" applyFont="1" applyFill="1" applyBorder="1" applyAlignment="1" applyProtection="1">
      <alignment horizontal="centerContinuous"/>
      <protection/>
    </xf>
    <xf numFmtId="3" fontId="32" fillId="0" borderId="12" xfId="0" applyNumberFormat="1" applyFont="1" applyFill="1" applyBorder="1" applyAlignment="1" applyProtection="1">
      <alignment horizontal="centerContinuous"/>
      <protection/>
    </xf>
    <xf numFmtId="172" fontId="27" fillId="0" borderId="25" xfId="51" applyNumberFormat="1" applyFont="1" applyFill="1" applyBorder="1" applyAlignment="1" applyProtection="1">
      <alignment horizontal="center"/>
      <protection/>
    </xf>
    <xf numFmtId="172" fontId="7" fillId="33" borderId="28" xfId="51" applyNumberFormat="1" applyFont="1" applyFill="1" applyBorder="1" applyAlignment="1" applyProtection="1">
      <alignment horizontal="center"/>
      <protection locked="0"/>
    </xf>
    <xf numFmtId="172" fontId="7" fillId="0" borderId="0" xfId="51" applyNumberFormat="1" applyFont="1" applyFill="1" applyBorder="1" applyAlignment="1" applyProtection="1">
      <alignment horizontal="center"/>
      <protection/>
    </xf>
    <xf numFmtId="0" fontId="164" fillId="0" borderId="0" xfId="0" applyFont="1" applyAlignment="1">
      <alignment horizontal="left" vertical="center"/>
    </xf>
    <xf numFmtId="178" fontId="30" fillId="35" borderId="28" xfId="0" applyNumberFormat="1" applyFont="1" applyFill="1" applyBorder="1" applyAlignment="1" applyProtection="1">
      <alignment horizontal="center"/>
      <protection/>
    </xf>
    <xf numFmtId="178" fontId="30" fillId="35" borderId="0" xfId="0" applyNumberFormat="1" applyFont="1" applyFill="1" applyBorder="1" applyAlignment="1" applyProtection="1">
      <alignment horizontal="centerContinuous"/>
      <protection/>
    </xf>
    <xf numFmtId="178" fontId="30" fillId="35" borderId="13" xfId="0" applyNumberFormat="1" applyFont="1" applyFill="1" applyBorder="1" applyAlignment="1" applyProtection="1">
      <alignment horizontal="centerContinuous"/>
      <protection/>
    </xf>
    <xf numFmtId="178" fontId="31" fillId="35" borderId="28" xfId="0" applyNumberFormat="1" applyFont="1" applyFill="1" applyBorder="1" applyAlignment="1" applyProtection="1">
      <alignment horizontal="center"/>
      <protection/>
    </xf>
    <xf numFmtId="178" fontId="31" fillId="35" borderId="0" xfId="0" applyNumberFormat="1" applyFont="1" applyFill="1" applyBorder="1" applyAlignment="1" applyProtection="1">
      <alignment horizontal="centerContinuous"/>
      <protection/>
    </xf>
    <xf numFmtId="178" fontId="10" fillId="35" borderId="13" xfId="0" applyNumberFormat="1" applyFont="1" applyFill="1" applyBorder="1" applyAlignment="1" applyProtection="1">
      <alignment horizontal="centerContinuous"/>
      <protection/>
    </xf>
    <xf numFmtId="178" fontId="6" fillId="37" borderId="28" xfId="0" applyNumberFormat="1" applyFont="1" applyFill="1" applyBorder="1" applyAlignment="1" applyProtection="1">
      <alignment horizontal="center"/>
      <protection/>
    </xf>
    <xf numFmtId="178" fontId="6" fillId="37" borderId="0" xfId="0" applyNumberFormat="1" applyFont="1" applyFill="1" applyBorder="1" applyAlignment="1" applyProtection="1">
      <alignment horizontal="centerContinuous"/>
      <protection/>
    </xf>
    <xf numFmtId="178" fontId="6" fillId="37" borderId="13" xfId="0" applyNumberFormat="1" applyFont="1" applyFill="1" applyBorder="1" applyAlignment="1" applyProtection="1">
      <alignment horizontal="centerContinuous"/>
      <protection/>
    </xf>
    <xf numFmtId="0" fontId="47" fillId="38" borderId="20" xfId="0" applyFont="1" applyFill="1" applyBorder="1" applyAlignment="1" applyProtection="1">
      <alignment vertical="center"/>
      <protection/>
    </xf>
    <xf numFmtId="170" fontId="7" fillId="0" borderId="0" xfId="0" applyNumberFormat="1" applyFont="1" applyAlignment="1" applyProtection="1">
      <alignment vertical="center"/>
      <protection/>
    </xf>
    <xf numFmtId="1" fontId="7" fillId="0" borderId="0" xfId="0" applyNumberFormat="1" applyFont="1" applyAlignment="1" applyProtection="1">
      <alignment vertical="center"/>
      <protection/>
    </xf>
    <xf numFmtId="2" fontId="4" fillId="0" borderId="0" xfId="0" applyNumberFormat="1" applyFont="1" applyAlignment="1" applyProtection="1">
      <alignment/>
      <protection/>
    </xf>
    <xf numFmtId="2" fontId="56" fillId="0" borderId="0" xfId="0" applyNumberFormat="1" applyFont="1" applyAlignment="1" applyProtection="1">
      <alignment horizontal="center" vertical="center"/>
      <protection/>
    </xf>
    <xf numFmtId="0" fontId="176" fillId="0" borderId="0" xfId="0" applyFont="1" applyAlignment="1" applyProtection="1">
      <alignment vertical="center"/>
      <protection/>
    </xf>
    <xf numFmtId="178" fontId="171" fillId="0" borderId="0" xfId="0" applyNumberFormat="1" applyFont="1" applyAlignment="1" applyProtection="1">
      <alignment vertical="center"/>
      <protection/>
    </xf>
    <xf numFmtId="192" fontId="7" fillId="0" borderId="0" xfId="0" applyNumberFormat="1" applyFont="1" applyAlignment="1" applyProtection="1">
      <alignment vertical="center"/>
      <protection/>
    </xf>
    <xf numFmtId="0" fontId="8" fillId="0" borderId="0" xfId="0" applyFont="1" applyAlignment="1" applyProtection="1">
      <alignment vertical="center"/>
      <protection/>
    </xf>
    <xf numFmtId="0" fontId="7" fillId="0" borderId="77" xfId="0" applyFont="1" applyBorder="1" applyAlignment="1">
      <alignment vertical="center"/>
    </xf>
    <xf numFmtId="0" fontId="7" fillId="0" borderId="53" xfId="0" applyFont="1" applyBorder="1" applyAlignment="1">
      <alignment vertical="center"/>
    </xf>
    <xf numFmtId="0" fontId="7" fillId="0" borderId="53" xfId="0" applyFont="1" applyBorder="1" applyAlignment="1" applyProtection="1">
      <alignment vertical="center"/>
      <protection/>
    </xf>
    <xf numFmtId="0" fontId="7" fillId="0" borderId="41" xfId="0" applyFont="1" applyBorder="1" applyAlignment="1" applyProtection="1">
      <alignment vertical="center"/>
      <protection/>
    </xf>
    <xf numFmtId="0" fontId="7" fillId="0" borderId="35" xfId="0" applyFont="1" applyBorder="1" applyAlignment="1">
      <alignment vertical="center"/>
    </xf>
    <xf numFmtId="0" fontId="7" fillId="0" borderId="0" xfId="0" applyFont="1" applyBorder="1" applyAlignment="1">
      <alignment vertical="center"/>
    </xf>
    <xf numFmtId="1" fontId="8" fillId="0" borderId="0" xfId="0" applyNumberFormat="1" applyFont="1" applyBorder="1" applyAlignment="1" applyProtection="1">
      <alignment vertical="center"/>
      <protection/>
    </xf>
    <xf numFmtId="1" fontId="8" fillId="0" borderId="28" xfId="0" applyNumberFormat="1" applyFont="1" applyBorder="1" applyAlignment="1" applyProtection="1">
      <alignment vertical="center"/>
      <protection/>
    </xf>
    <xf numFmtId="0" fontId="7" fillId="0" borderId="78" xfId="0" applyFont="1" applyBorder="1" applyAlignment="1">
      <alignment vertical="center"/>
    </xf>
    <xf numFmtId="0" fontId="7" fillId="0" borderId="31" xfId="0" applyFont="1" applyBorder="1" applyAlignment="1" applyProtection="1">
      <alignment vertical="center"/>
      <protection/>
    </xf>
    <xf numFmtId="0" fontId="7" fillId="0" borderId="31" xfId="0" applyFont="1" applyBorder="1" applyAlignment="1">
      <alignment vertical="center"/>
    </xf>
    <xf numFmtId="170" fontId="7" fillId="0" borderId="31" xfId="0" applyNumberFormat="1" applyFont="1" applyBorder="1" applyAlignment="1" applyProtection="1">
      <alignment vertical="center"/>
      <protection/>
    </xf>
    <xf numFmtId="170" fontId="7" fillId="0" borderId="24" xfId="0" applyNumberFormat="1" applyFont="1" applyBorder="1" applyAlignment="1" applyProtection="1">
      <alignment vertical="center"/>
      <protection/>
    </xf>
    <xf numFmtId="178" fontId="31" fillId="34" borderId="41" xfId="0" applyNumberFormat="1" applyFont="1" applyFill="1" applyBorder="1" applyAlignment="1" applyProtection="1">
      <alignment horizontal="center"/>
      <protection/>
    </xf>
    <xf numFmtId="178" fontId="31" fillId="34" borderId="53" xfId="0" applyNumberFormat="1" applyFont="1" applyFill="1" applyBorder="1" applyAlignment="1" applyProtection="1">
      <alignment horizontal="centerContinuous"/>
      <protection/>
    </xf>
    <xf numFmtId="178" fontId="10" fillId="34" borderId="42" xfId="0" applyNumberFormat="1" applyFont="1" applyFill="1" applyBorder="1" applyAlignment="1" applyProtection="1">
      <alignment horizontal="centerContinuous"/>
      <protection/>
    </xf>
    <xf numFmtId="0" fontId="0" fillId="38" borderId="27" xfId="0" applyFill="1" applyBorder="1" applyAlignment="1">
      <alignment vertical="center"/>
    </xf>
    <xf numFmtId="0" fontId="7" fillId="38" borderId="27" xfId="0" applyFont="1" applyFill="1" applyBorder="1" applyAlignment="1">
      <alignment vertical="center"/>
    </xf>
    <xf numFmtId="3" fontId="31" fillId="38" borderId="23" xfId="0" applyNumberFormat="1" applyFont="1" applyFill="1" applyBorder="1" applyAlignment="1" applyProtection="1">
      <alignment horizontal="center"/>
      <protection/>
    </xf>
    <xf numFmtId="3" fontId="31" fillId="38" borderId="76" xfId="0" applyNumberFormat="1" applyFont="1" applyFill="1" applyBorder="1" applyAlignment="1" applyProtection="1">
      <alignment horizontal="centerContinuous"/>
      <protection/>
    </xf>
    <xf numFmtId="3" fontId="31" fillId="38" borderId="14" xfId="0" applyNumberFormat="1" applyFont="1" applyFill="1" applyBorder="1" applyAlignment="1" applyProtection="1">
      <alignment horizontal="centerContinuous"/>
      <protection/>
    </xf>
    <xf numFmtId="0" fontId="35" fillId="40" borderId="49" xfId="0" applyFont="1" applyFill="1" applyBorder="1" applyAlignment="1" applyProtection="1">
      <alignment horizontal="center"/>
      <protection/>
    </xf>
    <xf numFmtId="0" fontId="0" fillId="0" borderId="50" xfId="0" applyBorder="1" applyAlignment="1">
      <alignment/>
    </xf>
    <xf numFmtId="0" fontId="11" fillId="40" borderId="50" xfId="0" applyFont="1" applyFill="1" applyBorder="1" applyAlignment="1" applyProtection="1">
      <alignment horizontal="center" vertical="center" wrapText="1"/>
      <protection/>
    </xf>
    <xf numFmtId="0" fontId="11" fillId="40" borderId="51" xfId="0" applyFont="1" applyFill="1" applyBorder="1" applyAlignment="1" applyProtection="1">
      <alignment horizontal="center" vertical="center" wrapText="1"/>
      <protection/>
    </xf>
    <xf numFmtId="0" fontId="7" fillId="0" borderId="0" xfId="0" applyFont="1" applyFill="1" applyBorder="1" applyAlignment="1">
      <alignment horizontal="left"/>
    </xf>
    <xf numFmtId="0" fontId="7" fillId="0" borderId="0" xfId="0" applyFont="1" applyAlignment="1">
      <alignment wrapText="1"/>
    </xf>
    <xf numFmtId="0" fontId="0" fillId="0" borderId="0" xfId="0" applyAlignment="1">
      <alignment wrapText="1"/>
    </xf>
    <xf numFmtId="0" fontId="7" fillId="0" borderId="0" xfId="0" applyFont="1" applyAlignment="1">
      <alignment horizontal="left" vertical="center" wrapText="1"/>
    </xf>
    <xf numFmtId="0" fontId="21" fillId="0" borderId="0" xfId="0" applyFont="1" applyAlignment="1">
      <alignment horizontal="left" wrapText="1"/>
    </xf>
    <xf numFmtId="0" fontId="7" fillId="0" borderId="0" xfId="0" applyFont="1" applyAlignment="1">
      <alignment horizontal="left" wrapText="1"/>
    </xf>
    <xf numFmtId="0" fontId="11" fillId="0" borderId="0" xfId="0" applyFont="1" applyAlignment="1">
      <alignment wrapText="1"/>
    </xf>
    <xf numFmtId="0" fontId="72" fillId="0" borderId="0" xfId="0" applyFont="1" applyAlignment="1">
      <alignment wrapText="1"/>
    </xf>
    <xf numFmtId="0" fontId="7" fillId="0" borderId="0" xfId="0" applyFont="1" applyAlignment="1">
      <alignment horizontal="center" wrapText="1"/>
    </xf>
    <xf numFmtId="2" fontId="24" fillId="34" borderId="76" xfId="0" applyNumberFormat="1" applyFont="1" applyFill="1" applyBorder="1" applyAlignment="1" applyProtection="1">
      <alignment horizontal="center" vertical="center"/>
      <protection/>
    </xf>
    <xf numFmtId="2" fontId="24" fillId="34" borderId="14" xfId="0" applyNumberFormat="1" applyFont="1" applyFill="1" applyBorder="1" applyAlignment="1" applyProtection="1">
      <alignment horizontal="center" vertical="center"/>
      <protection/>
    </xf>
    <xf numFmtId="4" fontId="24" fillId="38" borderId="35" xfId="0" applyNumberFormat="1" applyFont="1" applyFill="1" applyBorder="1" applyAlignment="1" applyProtection="1">
      <alignment horizontal="center"/>
      <protection/>
    </xf>
    <xf numFmtId="4" fontId="24" fillId="38" borderId="13" xfId="0" applyNumberFormat="1" applyFont="1" applyFill="1" applyBorder="1" applyAlignment="1" applyProtection="1">
      <alignment horizontal="center"/>
      <protection/>
    </xf>
    <xf numFmtId="3" fontId="31" fillId="38" borderId="77" xfId="0" applyNumberFormat="1" applyFont="1" applyFill="1" applyBorder="1" applyAlignment="1" applyProtection="1">
      <alignment horizontal="center"/>
      <protection/>
    </xf>
    <xf numFmtId="3" fontId="31" fillId="38" borderId="42" xfId="0" applyNumberFormat="1" applyFont="1" applyFill="1" applyBorder="1" applyAlignment="1" applyProtection="1">
      <alignment horizontal="center"/>
      <protection/>
    </xf>
    <xf numFmtId="0" fontId="31" fillId="38" borderId="16" xfId="0" applyFont="1" applyFill="1" applyBorder="1" applyAlignment="1" applyProtection="1">
      <alignment horizontal="left" wrapText="1"/>
      <protection/>
    </xf>
    <xf numFmtId="0" fontId="31" fillId="38" borderId="0" xfId="0" applyFont="1" applyFill="1" applyBorder="1" applyAlignment="1" applyProtection="1">
      <alignment horizontal="left" wrapText="1"/>
      <protection/>
    </xf>
    <xf numFmtId="0" fontId="31" fillId="38" borderId="28" xfId="0" applyFont="1" applyFill="1" applyBorder="1" applyAlignment="1" applyProtection="1">
      <alignment horizontal="left" wrapText="1"/>
      <protection/>
    </xf>
    <xf numFmtId="0" fontId="27" fillId="38" borderId="40" xfId="0" applyFont="1" applyFill="1" applyBorder="1" applyAlignment="1" applyProtection="1">
      <alignment horizontal="left"/>
      <protection/>
    </xf>
    <xf numFmtId="0" fontId="27" fillId="38" borderId="41" xfId="0" applyFont="1" applyFill="1" applyBorder="1" applyAlignment="1" applyProtection="1">
      <alignment horizontal="left"/>
      <protection/>
    </xf>
    <xf numFmtId="172" fontId="31" fillId="35" borderId="78" xfId="51" applyNumberFormat="1" applyFont="1" applyFill="1" applyBorder="1" applyAlignment="1" applyProtection="1">
      <alignment horizontal="center"/>
      <protection/>
    </xf>
    <xf numFmtId="172" fontId="31" fillId="35" borderId="26" xfId="51" applyNumberFormat="1" applyFont="1" applyFill="1" applyBorder="1" applyAlignment="1" applyProtection="1">
      <alignment horizontal="center"/>
      <protection/>
    </xf>
    <xf numFmtId="1" fontId="31" fillId="34" borderId="35" xfId="0" applyNumberFormat="1" applyFont="1" applyFill="1" applyBorder="1" applyAlignment="1" applyProtection="1">
      <alignment horizontal="center" vertical="center"/>
      <protection/>
    </xf>
    <xf numFmtId="1" fontId="31" fillId="34" borderId="13" xfId="0" applyNumberFormat="1" applyFont="1" applyFill="1" applyBorder="1" applyAlignment="1" applyProtection="1">
      <alignment horizontal="center" vertical="center"/>
      <protection/>
    </xf>
    <xf numFmtId="0" fontId="31" fillId="38" borderId="40" xfId="0" applyFont="1" applyFill="1" applyBorder="1" applyAlignment="1" applyProtection="1">
      <alignment horizontal="left" wrapText="1"/>
      <protection/>
    </xf>
    <xf numFmtId="0" fontId="31" fillId="38" borderId="53" xfId="0" applyFont="1" applyFill="1" applyBorder="1" applyAlignment="1" applyProtection="1">
      <alignment horizontal="left" wrapText="1"/>
      <protection/>
    </xf>
    <xf numFmtId="0" fontId="10" fillId="35" borderId="17" xfId="0" applyFont="1" applyFill="1" applyBorder="1" applyAlignment="1" applyProtection="1">
      <alignment horizontal="left" vertical="center"/>
      <protection/>
    </xf>
    <xf numFmtId="0" fontId="10" fillId="35" borderId="27" xfId="0" applyFont="1" applyFill="1" applyBorder="1" applyAlignment="1" applyProtection="1">
      <alignment horizontal="left" vertical="center"/>
      <protection/>
    </xf>
    <xf numFmtId="0" fontId="10" fillId="35" borderId="21" xfId="0" applyFont="1" applyFill="1" applyBorder="1" applyAlignment="1" applyProtection="1">
      <alignment horizontal="left" vertical="center"/>
      <protection/>
    </xf>
    <xf numFmtId="0" fontId="11" fillId="39" borderId="76" xfId="0" applyFont="1" applyFill="1" applyBorder="1" applyAlignment="1" applyProtection="1">
      <alignment horizontal="center" vertical="center"/>
      <protection locked="0"/>
    </xf>
    <xf numFmtId="0" fontId="11" fillId="39" borderId="14" xfId="0" applyFont="1" applyFill="1" applyBorder="1" applyAlignment="1" applyProtection="1">
      <alignment horizontal="center" vertical="center"/>
      <protection locked="0"/>
    </xf>
    <xf numFmtId="0" fontId="59" fillId="40" borderId="49" xfId="0" applyFont="1" applyFill="1" applyBorder="1" applyAlignment="1" applyProtection="1">
      <alignment horizontal="center"/>
      <protection/>
    </xf>
    <xf numFmtId="0" fontId="59" fillId="40" borderId="50" xfId="0" applyFont="1" applyFill="1" applyBorder="1" applyAlignment="1" applyProtection="1">
      <alignment horizontal="center"/>
      <protection/>
    </xf>
    <xf numFmtId="0" fontId="45" fillId="40" borderId="49" xfId="0" applyFont="1" applyFill="1" applyBorder="1" applyAlignment="1" applyProtection="1">
      <alignment horizontal="center"/>
      <protection/>
    </xf>
    <xf numFmtId="0" fontId="45" fillId="40" borderId="50" xfId="0" applyFont="1" applyFill="1" applyBorder="1" applyAlignment="1" applyProtection="1">
      <alignment horizontal="center"/>
      <protection/>
    </xf>
    <xf numFmtId="0" fontId="61" fillId="40" borderId="50" xfId="0" applyFont="1" applyFill="1" applyBorder="1" applyAlignment="1" applyProtection="1">
      <alignment horizontal="center" vertical="center" wrapText="1"/>
      <protection/>
    </xf>
    <xf numFmtId="0" fontId="61" fillId="40" borderId="51" xfId="0" applyFont="1" applyFill="1" applyBorder="1" applyAlignment="1" applyProtection="1">
      <alignment horizontal="center" vertical="center" wrapText="1"/>
      <protection/>
    </xf>
    <xf numFmtId="9" fontId="30" fillId="34" borderId="78" xfId="51" applyFont="1" applyFill="1" applyBorder="1" applyAlignment="1" applyProtection="1">
      <alignment horizontal="center"/>
      <protection/>
    </xf>
    <xf numFmtId="9" fontId="30" fillId="34" borderId="26" xfId="51" applyFont="1" applyFill="1" applyBorder="1" applyAlignment="1" applyProtection="1">
      <alignment horizontal="center"/>
      <protection/>
    </xf>
    <xf numFmtId="0" fontId="30" fillId="34" borderId="15" xfId="0" applyFont="1" applyFill="1" applyBorder="1" applyAlignment="1" applyProtection="1">
      <alignment horizontal="left"/>
      <protection/>
    </xf>
    <xf numFmtId="0" fontId="30" fillId="34" borderId="31" xfId="0" applyFont="1" applyFill="1" applyBorder="1" applyAlignment="1" applyProtection="1">
      <alignment horizontal="left"/>
      <protection/>
    </xf>
    <xf numFmtId="0" fontId="30" fillId="34" borderId="24" xfId="0" applyFont="1" applyFill="1" applyBorder="1" applyAlignment="1" applyProtection="1">
      <alignment horizontal="left"/>
      <protection/>
    </xf>
    <xf numFmtId="1" fontId="4" fillId="38" borderId="35" xfId="0" applyNumberFormat="1" applyFont="1" applyFill="1" applyBorder="1" applyAlignment="1" applyProtection="1">
      <alignment horizontal="center"/>
      <protection/>
    </xf>
    <xf numFmtId="1" fontId="4" fillId="38" borderId="13" xfId="0" applyNumberFormat="1" applyFont="1" applyFill="1" applyBorder="1" applyAlignment="1" applyProtection="1">
      <alignment horizontal="center"/>
      <protection/>
    </xf>
    <xf numFmtId="0" fontId="24" fillId="34" borderId="49" xfId="0" applyFont="1" applyFill="1" applyBorder="1" applyAlignment="1" applyProtection="1">
      <alignment horizontal="center"/>
      <protection/>
    </xf>
    <xf numFmtId="0" fontId="24" fillId="34" borderId="50" xfId="0" applyFont="1" applyFill="1" applyBorder="1" applyAlignment="1" applyProtection="1">
      <alignment horizontal="center"/>
      <protection/>
    </xf>
    <xf numFmtId="0" fontId="24" fillId="34" borderId="51" xfId="0" applyFont="1" applyFill="1" applyBorder="1" applyAlignment="1" applyProtection="1">
      <alignment horizontal="center"/>
      <protection/>
    </xf>
    <xf numFmtId="175" fontId="58" fillId="39" borderId="22" xfId="0" applyNumberFormat="1" applyFont="1" applyFill="1" applyBorder="1" applyAlignment="1" applyProtection="1">
      <alignment horizontal="center"/>
      <protection locked="0"/>
    </xf>
    <xf numFmtId="0" fontId="11" fillId="34" borderId="16" xfId="0" applyFont="1" applyFill="1" applyBorder="1" applyAlignment="1" applyProtection="1">
      <alignment horizontal="left" wrapText="1"/>
      <protection/>
    </xf>
    <xf numFmtId="0" fontId="31" fillId="34" borderId="0" xfId="0" applyFont="1" applyFill="1" applyBorder="1" applyAlignment="1" applyProtection="1">
      <alignment horizontal="left" wrapText="1"/>
      <protection/>
    </xf>
    <xf numFmtId="0" fontId="31" fillId="34" borderId="20" xfId="0" applyFont="1" applyFill="1" applyBorder="1" applyAlignment="1" applyProtection="1">
      <alignment horizontal="left" wrapText="1"/>
      <protection/>
    </xf>
    <xf numFmtId="0" fontId="31" fillId="34" borderId="18" xfId="0" applyFont="1" applyFill="1" applyBorder="1" applyAlignment="1" applyProtection="1">
      <alignment horizontal="left" wrapText="1"/>
      <protection/>
    </xf>
    <xf numFmtId="0" fontId="31" fillId="34" borderId="19" xfId="0" applyFont="1" applyFill="1" applyBorder="1" applyAlignment="1" applyProtection="1">
      <alignment horizontal="left" wrapText="1"/>
      <protection/>
    </xf>
    <xf numFmtId="4" fontId="10" fillId="38" borderId="76" xfId="0" applyNumberFormat="1" applyFont="1" applyFill="1" applyBorder="1" applyAlignment="1" applyProtection="1">
      <alignment horizontal="center"/>
      <protection/>
    </xf>
    <xf numFmtId="4" fontId="10" fillId="38" borderId="14" xfId="0" applyNumberFormat="1" applyFont="1" applyFill="1" applyBorder="1" applyAlignment="1" applyProtection="1">
      <alignment horizontal="center"/>
      <protection/>
    </xf>
    <xf numFmtId="14" fontId="55" fillId="0" borderId="79" xfId="0" applyNumberFormat="1" applyFont="1" applyFill="1" applyBorder="1" applyAlignment="1" applyProtection="1">
      <alignment horizontal="center" vertical="center"/>
      <protection/>
    </xf>
    <xf numFmtId="14" fontId="55" fillId="0" borderId="56" xfId="0" applyNumberFormat="1" applyFont="1" applyFill="1" applyBorder="1" applyAlignment="1" applyProtection="1">
      <alignment horizontal="center" vertical="center"/>
      <protection/>
    </xf>
    <xf numFmtId="0" fontId="31" fillId="38" borderId="20" xfId="0" applyFont="1" applyFill="1" applyBorder="1" applyAlignment="1" applyProtection="1">
      <alignment horizontal="left" wrapText="1"/>
      <protection/>
    </xf>
    <xf numFmtId="0" fontId="31" fillId="38" borderId="18" xfId="0" applyFont="1" applyFill="1" applyBorder="1" applyAlignment="1" applyProtection="1">
      <alignment horizontal="left" wrapText="1"/>
      <protection/>
    </xf>
    <xf numFmtId="0" fontId="31" fillId="38" borderId="15" xfId="0" applyFont="1" applyFill="1" applyBorder="1" applyAlignment="1" applyProtection="1">
      <alignment horizontal="left" wrapText="1"/>
      <protection/>
    </xf>
    <xf numFmtId="0" fontId="31" fillId="38" borderId="31" xfId="0" applyFont="1" applyFill="1" applyBorder="1" applyAlignment="1" applyProtection="1">
      <alignment horizontal="left" wrapText="1"/>
      <protection/>
    </xf>
    <xf numFmtId="9" fontId="10" fillId="35" borderId="76" xfId="51" applyFont="1" applyFill="1" applyBorder="1" applyAlignment="1" applyProtection="1">
      <alignment horizontal="center" vertical="center"/>
      <protection/>
    </xf>
    <xf numFmtId="9" fontId="10" fillId="35" borderId="14" xfId="51" applyFont="1" applyFill="1" applyBorder="1" applyAlignment="1" applyProtection="1">
      <alignment horizontal="center" vertical="center"/>
      <protection/>
    </xf>
    <xf numFmtId="3" fontId="52" fillId="38" borderId="78" xfId="0" applyNumberFormat="1" applyFont="1" applyFill="1" applyBorder="1" applyAlignment="1" applyProtection="1">
      <alignment horizontal="center" vertical="center"/>
      <protection/>
    </xf>
    <xf numFmtId="3" fontId="52" fillId="38" borderId="26" xfId="0" applyNumberFormat="1" applyFont="1" applyFill="1" applyBorder="1" applyAlignment="1" applyProtection="1">
      <alignment horizontal="center" vertical="center"/>
      <protection/>
    </xf>
    <xf numFmtId="170" fontId="4" fillId="38" borderId="78" xfId="0" applyNumberFormat="1" applyFont="1" applyFill="1" applyBorder="1" applyAlignment="1" applyProtection="1">
      <alignment horizontal="center"/>
      <protection/>
    </xf>
    <xf numFmtId="170" fontId="4" fillId="38" borderId="26" xfId="0" applyNumberFormat="1" applyFont="1" applyFill="1" applyBorder="1" applyAlignment="1" applyProtection="1">
      <alignment horizontal="center"/>
      <protection/>
    </xf>
    <xf numFmtId="3" fontId="31" fillId="38" borderId="78" xfId="0" applyNumberFormat="1" applyFont="1" applyFill="1" applyBorder="1" applyAlignment="1" applyProtection="1">
      <alignment horizontal="center"/>
      <protection/>
    </xf>
    <xf numFmtId="3" fontId="31" fillId="38" borderId="26" xfId="0" applyNumberFormat="1" applyFont="1" applyFill="1" applyBorder="1" applyAlignment="1" applyProtection="1">
      <alignment horizontal="center"/>
      <protection/>
    </xf>
    <xf numFmtId="1" fontId="4" fillId="38" borderId="77" xfId="0" applyNumberFormat="1" applyFont="1" applyFill="1" applyBorder="1" applyAlignment="1" applyProtection="1">
      <alignment horizontal="center"/>
      <protection/>
    </xf>
    <xf numFmtId="1" fontId="4" fillId="38" borderId="42" xfId="0" applyNumberFormat="1" applyFont="1" applyFill="1" applyBorder="1" applyAlignment="1" applyProtection="1">
      <alignment horizontal="center"/>
      <protection/>
    </xf>
    <xf numFmtId="170" fontId="11" fillId="39" borderId="80" xfId="0" applyNumberFormat="1" applyFont="1" applyFill="1" applyBorder="1" applyAlignment="1" applyProtection="1">
      <alignment horizontal="center"/>
      <protection locked="0"/>
    </xf>
    <xf numFmtId="170" fontId="11" fillId="39" borderId="81" xfId="0" applyNumberFormat="1" applyFont="1" applyFill="1" applyBorder="1" applyAlignment="1" applyProtection="1">
      <alignment horizontal="center"/>
      <protection locked="0"/>
    </xf>
    <xf numFmtId="170" fontId="4" fillId="38" borderId="35" xfId="0" applyNumberFormat="1" applyFont="1" applyFill="1" applyBorder="1" applyAlignment="1" applyProtection="1">
      <alignment horizontal="center"/>
      <protection/>
    </xf>
    <xf numFmtId="170" fontId="4" fillId="38" borderId="13" xfId="0" applyNumberFormat="1" applyFont="1" applyFill="1" applyBorder="1" applyAlignment="1" applyProtection="1">
      <alignment horizontal="center"/>
      <protection/>
    </xf>
    <xf numFmtId="14" fontId="11" fillId="0" borderId="0" xfId="0" applyNumberFormat="1" applyFont="1" applyFill="1" applyBorder="1" applyAlignment="1" applyProtection="1">
      <alignment horizontal="center" vertical="center"/>
      <protection/>
    </xf>
    <xf numFmtId="170" fontId="5" fillId="0" borderId="82" xfId="0" applyNumberFormat="1" applyFont="1" applyBorder="1" applyAlignment="1" applyProtection="1">
      <alignment horizontal="center"/>
      <protection/>
    </xf>
    <xf numFmtId="170" fontId="5" fillId="0" borderId="61" xfId="0" applyNumberFormat="1" applyFont="1" applyBorder="1" applyAlignment="1" applyProtection="1">
      <alignment horizontal="center"/>
      <protection/>
    </xf>
    <xf numFmtId="2" fontId="5" fillId="0" borderId="35" xfId="0" applyNumberFormat="1" applyFont="1" applyBorder="1" applyAlignment="1" applyProtection="1">
      <alignment horizontal="center"/>
      <protection/>
    </xf>
    <xf numFmtId="2" fontId="5" fillId="0" borderId="13" xfId="0" applyNumberFormat="1" applyFont="1" applyBorder="1" applyAlignment="1" applyProtection="1">
      <alignment horizontal="center"/>
      <protection/>
    </xf>
    <xf numFmtId="2" fontId="15" fillId="33" borderId="59" xfId="0" applyNumberFormat="1" applyFont="1" applyFill="1" applyBorder="1" applyAlignment="1" applyProtection="1">
      <alignment horizontal="center"/>
      <protection locked="0"/>
    </xf>
    <xf numFmtId="2" fontId="15" fillId="33" borderId="12" xfId="0" applyNumberFormat="1" applyFont="1" applyFill="1" applyBorder="1" applyAlignment="1" applyProtection="1">
      <alignment horizontal="center"/>
      <protection locked="0"/>
    </xf>
    <xf numFmtId="170" fontId="15" fillId="33" borderId="76" xfId="0" applyNumberFormat="1" applyFont="1" applyFill="1" applyBorder="1" applyAlignment="1" applyProtection="1">
      <alignment horizontal="center"/>
      <protection locked="0"/>
    </xf>
    <xf numFmtId="170" fontId="15" fillId="33" borderId="14" xfId="0" applyNumberFormat="1" applyFont="1" applyFill="1" applyBorder="1" applyAlignment="1" applyProtection="1">
      <alignment horizontal="center"/>
      <protection locked="0"/>
    </xf>
    <xf numFmtId="170" fontId="16" fillId="33" borderId="83" xfId="0" applyNumberFormat="1" applyFont="1" applyFill="1" applyBorder="1" applyAlignment="1" applyProtection="1">
      <alignment horizontal="center"/>
      <protection locked="0"/>
    </xf>
    <xf numFmtId="170" fontId="16" fillId="33" borderId="81" xfId="0" applyNumberFormat="1" applyFont="1" applyFill="1" applyBorder="1" applyAlignment="1" applyProtection="1">
      <alignment horizontal="center"/>
      <protection locked="0"/>
    </xf>
    <xf numFmtId="14" fontId="5" fillId="0" borderId="79" xfId="0" applyNumberFormat="1" applyFont="1" applyFill="1" applyBorder="1" applyAlignment="1">
      <alignment horizontal="center"/>
    </xf>
    <xf numFmtId="14" fontId="5" fillId="0" borderId="56" xfId="0" applyNumberFormat="1" applyFont="1" applyFill="1" applyBorder="1" applyAlignment="1">
      <alignment horizontal="center"/>
    </xf>
    <xf numFmtId="14" fontId="11" fillId="0" borderId="79" xfId="0" applyNumberFormat="1" applyFont="1" applyFill="1" applyBorder="1" applyAlignment="1" applyProtection="1">
      <alignment horizontal="center" vertical="center"/>
      <protection/>
    </xf>
    <xf numFmtId="14" fontId="11" fillId="0" borderId="56" xfId="0" applyNumberFormat="1" applyFont="1" applyFill="1" applyBorder="1" applyAlignment="1" applyProtection="1">
      <alignment horizontal="center" vertical="center"/>
      <protection/>
    </xf>
    <xf numFmtId="0" fontId="35" fillId="40" borderId="50" xfId="0" applyFont="1" applyFill="1" applyBorder="1" applyAlignment="1" applyProtection="1">
      <alignment horizontal="center"/>
      <protection/>
    </xf>
    <xf numFmtId="0" fontId="21" fillId="40" borderId="50" xfId="0" applyFont="1" applyFill="1" applyBorder="1" applyAlignment="1" applyProtection="1">
      <alignment horizontal="center" vertical="center" wrapText="1"/>
      <protection/>
    </xf>
    <xf numFmtId="0" fontId="21" fillId="40" borderId="51" xfId="0" applyFont="1" applyFill="1" applyBorder="1" applyAlignment="1" applyProtection="1">
      <alignment horizontal="center" vertical="center" wrapText="1"/>
      <protection/>
    </xf>
    <xf numFmtId="172" fontId="28" fillId="34" borderId="35" xfId="51" applyNumberFormat="1" applyFont="1" applyFill="1" applyBorder="1" applyAlignment="1" applyProtection="1">
      <alignment horizontal="center"/>
      <protection/>
    </xf>
    <xf numFmtId="172" fontId="28" fillId="34" borderId="13" xfId="51" applyNumberFormat="1" applyFont="1" applyFill="1" applyBorder="1" applyAlignment="1" applyProtection="1">
      <alignment horizontal="center"/>
      <protection/>
    </xf>
    <xf numFmtId="9" fontId="23" fillId="34" borderId="78" xfId="51" applyFont="1" applyFill="1" applyBorder="1" applyAlignment="1" applyProtection="1">
      <alignment horizontal="center"/>
      <protection/>
    </xf>
    <xf numFmtId="9" fontId="23" fillId="34" borderId="26" xfId="51" applyFont="1" applyFill="1" applyBorder="1" applyAlignment="1" applyProtection="1">
      <alignment horizontal="center"/>
      <protection/>
    </xf>
    <xf numFmtId="178" fontId="24" fillId="34" borderId="77" xfId="0" applyNumberFormat="1" applyFont="1" applyFill="1" applyBorder="1" applyAlignment="1" applyProtection="1">
      <alignment horizontal="center"/>
      <protection/>
    </xf>
    <xf numFmtId="178" fontId="24" fillId="34" borderId="42" xfId="0" applyNumberFormat="1" applyFont="1" applyFill="1" applyBorder="1" applyAlignment="1" applyProtection="1">
      <alignment horizontal="center"/>
      <protection/>
    </xf>
    <xf numFmtId="0" fontId="7" fillId="0" borderId="16" xfId="0" applyFont="1" applyBorder="1" applyAlignment="1" applyProtection="1">
      <alignment horizontal="left"/>
      <protection/>
    </xf>
    <xf numFmtId="0" fontId="7" fillId="0" borderId="28" xfId="0" applyFont="1" applyBorder="1" applyAlignment="1" applyProtection="1">
      <alignment horizontal="left"/>
      <protection/>
    </xf>
    <xf numFmtId="0" fontId="7" fillId="0" borderId="15" xfId="0" applyFont="1" applyBorder="1" applyAlignment="1" applyProtection="1">
      <alignment horizontal="left"/>
      <protection/>
    </xf>
    <xf numFmtId="0" fontId="7" fillId="0" borderId="24" xfId="0" applyFont="1" applyBorder="1" applyAlignment="1" applyProtection="1">
      <alignment horizontal="left"/>
      <protection/>
    </xf>
    <xf numFmtId="2" fontId="7" fillId="0" borderId="0" xfId="0" applyNumberFormat="1" applyFont="1" applyBorder="1" applyAlignment="1" applyProtection="1">
      <alignment horizontal="center" vertical="center"/>
      <protection/>
    </xf>
    <xf numFmtId="2" fontId="7" fillId="0" borderId="0" xfId="0" applyNumberFormat="1" applyFont="1" applyAlignment="1" applyProtection="1">
      <alignment horizontal="center" vertical="center"/>
      <protection/>
    </xf>
    <xf numFmtId="177" fontId="25" fillId="37" borderId="35" xfId="0" applyNumberFormat="1" applyFont="1" applyFill="1" applyBorder="1" applyAlignment="1" applyProtection="1">
      <alignment horizontal="center"/>
      <protection/>
    </xf>
    <xf numFmtId="177" fontId="25" fillId="37" borderId="13" xfId="0" applyNumberFormat="1" applyFont="1" applyFill="1" applyBorder="1" applyAlignment="1" applyProtection="1">
      <alignment horizontal="center"/>
      <protection/>
    </xf>
    <xf numFmtId="4" fontId="28" fillId="0" borderId="76" xfId="0" applyNumberFormat="1" applyFont="1" applyFill="1" applyBorder="1" applyAlignment="1" applyProtection="1">
      <alignment horizontal="center"/>
      <protection/>
    </xf>
    <xf numFmtId="4" fontId="28" fillId="0" borderId="14" xfId="0" applyNumberFormat="1" applyFont="1" applyFill="1" applyBorder="1" applyAlignment="1" applyProtection="1">
      <alignment horizontal="center"/>
      <protection/>
    </xf>
    <xf numFmtId="4" fontId="25" fillId="0" borderId="59" xfId="0" applyNumberFormat="1" applyFont="1" applyFill="1" applyBorder="1" applyAlignment="1" applyProtection="1">
      <alignment horizontal="center"/>
      <protection/>
    </xf>
    <xf numFmtId="4" fontId="25" fillId="0" borderId="12" xfId="0" applyNumberFormat="1" applyFont="1" applyFill="1" applyBorder="1" applyAlignment="1" applyProtection="1">
      <alignment horizontal="center"/>
      <protection/>
    </xf>
    <xf numFmtId="172" fontId="28" fillId="37" borderId="35" xfId="51" applyNumberFormat="1" applyFont="1" applyFill="1" applyBorder="1" applyAlignment="1" applyProtection="1">
      <alignment horizontal="center"/>
      <protection/>
    </xf>
    <xf numFmtId="172" fontId="28" fillId="37" borderId="13" xfId="51" applyNumberFormat="1" applyFont="1" applyFill="1" applyBorder="1" applyAlignment="1" applyProtection="1">
      <alignment horizontal="center"/>
      <protection/>
    </xf>
    <xf numFmtId="0" fontId="5" fillId="42" borderId="59" xfId="0" applyFont="1" applyFill="1" applyBorder="1" applyAlignment="1">
      <alignment horizontal="center"/>
    </xf>
    <xf numFmtId="0" fontId="5" fillId="42" borderId="12" xfId="0" applyFont="1" applyFill="1" applyBorder="1" applyAlignment="1">
      <alignment horizontal="center"/>
    </xf>
    <xf numFmtId="0" fontId="5" fillId="42" borderId="76" xfId="0" applyFont="1" applyFill="1" applyBorder="1" applyAlignment="1">
      <alignment horizontal="center"/>
    </xf>
    <xf numFmtId="0" fontId="5" fillId="42" borderId="14" xfId="0" applyFont="1" applyFill="1" applyBorder="1" applyAlignment="1">
      <alignment horizontal="center"/>
    </xf>
    <xf numFmtId="14" fontId="174" fillId="42" borderId="50" xfId="0" applyNumberFormat="1" applyFont="1" applyFill="1" applyBorder="1" applyAlignment="1">
      <alignment horizontal="center"/>
    </xf>
    <xf numFmtId="14" fontId="174" fillId="42" borderId="62" xfId="0" applyNumberFormat="1" applyFont="1" applyFill="1" applyBorder="1" applyAlignment="1">
      <alignment horizontal="center"/>
    </xf>
    <xf numFmtId="14" fontId="15" fillId="42" borderId="50" xfId="0" applyNumberFormat="1" applyFont="1" applyFill="1" applyBorder="1" applyAlignment="1">
      <alignment horizontal="right"/>
    </xf>
    <xf numFmtId="0" fontId="5" fillId="0" borderId="55" xfId="0" applyFont="1" applyBorder="1" applyAlignment="1">
      <alignment wrapText="1"/>
    </xf>
    <xf numFmtId="0" fontId="5" fillId="0" borderId="57" xfId="0" applyFont="1" applyBorder="1" applyAlignment="1">
      <alignment wrapText="1"/>
    </xf>
    <xf numFmtId="0" fontId="5" fillId="0" borderId="17" xfId="0" applyFont="1" applyBorder="1" applyAlignment="1">
      <alignment wrapText="1"/>
    </xf>
    <xf numFmtId="0" fontId="5" fillId="0" borderId="27" xfId="0" applyFont="1" applyBorder="1" applyAlignment="1">
      <alignment wrapText="1"/>
    </xf>
    <xf numFmtId="0" fontId="71" fillId="0" borderId="0" xfId="0" applyFont="1" applyAlignment="1">
      <alignment horizontal="right" wrapText="1"/>
    </xf>
    <xf numFmtId="0" fontId="71" fillId="0" borderId="13" xfId="0" applyFont="1" applyBorder="1" applyAlignment="1">
      <alignment horizontal="right" wrapText="1"/>
    </xf>
    <xf numFmtId="0" fontId="5" fillId="0" borderId="59" xfId="0" applyFont="1" applyBorder="1" applyAlignment="1">
      <alignment horizontal="center"/>
    </xf>
    <xf numFmtId="0" fontId="5" fillId="0" borderId="12" xfId="0" applyFont="1" applyBorder="1" applyAlignment="1">
      <alignment horizontal="center"/>
    </xf>
    <xf numFmtId="0" fontId="5" fillId="0" borderId="76" xfId="0" applyFont="1" applyBorder="1" applyAlignment="1">
      <alignment horizontal="center"/>
    </xf>
    <xf numFmtId="0" fontId="5" fillId="0" borderId="14" xfId="0" applyFont="1" applyBorder="1" applyAlignment="1">
      <alignment horizontal="center"/>
    </xf>
    <xf numFmtId="14" fontId="174" fillId="0" borderId="50" xfId="0" applyNumberFormat="1" applyFont="1" applyBorder="1" applyAlignment="1">
      <alignment horizontal="left"/>
    </xf>
    <xf numFmtId="14" fontId="174" fillId="0" borderId="62" xfId="0" applyNumberFormat="1" applyFont="1" applyBorder="1" applyAlignment="1">
      <alignment horizontal="left"/>
    </xf>
    <xf numFmtId="0" fontId="8" fillId="0" borderId="84" xfId="0" applyFont="1" applyBorder="1" applyAlignment="1">
      <alignment horizontal="left" wrapText="1"/>
    </xf>
    <xf numFmtId="0" fontId="8" fillId="0" borderId="83" xfId="0" applyFont="1" applyBorder="1" applyAlignment="1">
      <alignment horizontal="left" wrapText="1"/>
    </xf>
    <xf numFmtId="0" fontId="8" fillId="0" borderId="85" xfId="0" applyFont="1" applyBorder="1" applyAlignment="1">
      <alignment horizontal="left" wrapText="1"/>
    </xf>
    <xf numFmtId="0" fontId="66" fillId="0" borderId="0" xfId="0" applyFont="1" applyAlignment="1">
      <alignment wrapText="1"/>
    </xf>
    <xf numFmtId="0" fontId="65" fillId="0" borderId="0" xfId="0" applyFont="1" applyAlignment="1">
      <alignment horizontal="right" wrapText="1"/>
    </xf>
    <xf numFmtId="0" fontId="0" fillId="0" borderId="13" xfId="0" applyBorder="1" applyAlignment="1">
      <alignment wrapText="1"/>
    </xf>
    <xf numFmtId="0" fontId="40" fillId="0" borderId="0" xfId="0" applyFont="1" applyAlignment="1">
      <alignment horizontal="left" wrapText="1"/>
    </xf>
    <xf numFmtId="0" fontId="40" fillId="0" borderId="13" xfId="0" applyFont="1" applyBorder="1" applyAlignment="1">
      <alignment horizontal="left" wrapText="1"/>
    </xf>
    <xf numFmtId="0" fontId="39" fillId="0" borderId="0" xfId="0" applyFont="1" applyAlignment="1">
      <alignment horizontal="left" vertical="top" wrapText="1"/>
    </xf>
    <xf numFmtId="2" fontId="38" fillId="0" borderId="77" xfId="59" applyNumberFormat="1" applyFont="1" applyBorder="1" applyAlignment="1">
      <alignment horizontal="center"/>
    </xf>
    <xf numFmtId="2" fontId="38" fillId="0" borderId="42" xfId="59" applyNumberFormat="1" applyFont="1" applyBorder="1" applyAlignment="1">
      <alignment horizontal="center"/>
    </xf>
    <xf numFmtId="0" fontId="38" fillId="0" borderId="53" xfId="0" applyFont="1" applyBorder="1" applyAlignment="1">
      <alignment horizontal="center"/>
    </xf>
    <xf numFmtId="0" fontId="38" fillId="0" borderId="42" xfId="0" applyFont="1" applyBorder="1" applyAlignment="1">
      <alignment horizontal="center"/>
    </xf>
    <xf numFmtId="0" fontId="38" fillId="0" borderId="27" xfId="0" applyFont="1" applyBorder="1" applyAlignment="1">
      <alignment horizontal="center"/>
    </xf>
    <xf numFmtId="0" fontId="38" fillId="0" borderId="14" xfId="0" applyFont="1" applyBorder="1" applyAlignment="1">
      <alignment horizontal="center"/>
    </xf>
    <xf numFmtId="0" fontId="79" fillId="0" borderId="59" xfId="0" applyFont="1" applyBorder="1" applyAlignment="1">
      <alignment horizontal="center"/>
    </xf>
    <xf numFmtId="0" fontId="79" fillId="0" borderId="12" xfId="0" applyFont="1" applyBorder="1" applyAlignment="1">
      <alignment horizontal="center"/>
    </xf>
    <xf numFmtId="2" fontId="38" fillId="0" borderId="86" xfId="0" applyNumberFormat="1" applyFont="1" applyBorder="1" applyAlignment="1">
      <alignment horizontal="center"/>
    </xf>
    <xf numFmtId="2" fontId="38" fillId="0" borderId="72" xfId="0" applyNumberFormat="1" applyFont="1" applyBorder="1" applyAlignment="1">
      <alignment horizontal="center"/>
    </xf>
    <xf numFmtId="172" fontId="38" fillId="0" borderId="76" xfId="51" applyNumberFormat="1" applyFont="1" applyBorder="1" applyAlignment="1">
      <alignment horizontal="center"/>
    </xf>
    <xf numFmtId="172" fontId="38" fillId="0" borderId="14" xfId="51" applyNumberFormat="1" applyFont="1" applyBorder="1" applyAlignment="1">
      <alignment horizontal="center"/>
    </xf>
    <xf numFmtId="174" fontId="38" fillId="0" borderId="35" xfId="59" applyNumberFormat="1" applyFont="1" applyBorder="1" applyAlignment="1">
      <alignment horizontal="center"/>
    </xf>
    <xf numFmtId="174" fontId="38" fillId="0" borderId="13" xfId="59" applyNumberFormat="1" applyFont="1" applyBorder="1" applyAlignment="1">
      <alignment horizontal="center"/>
    </xf>
    <xf numFmtId="170" fontId="38" fillId="0" borderId="78" xfId="59" applyNumberFormat="1" applyFont="1" applyBorder="1" applyAlignment="1">
      <alignment horizontal="center"/>
    </xf>
    <xf numFmtId="170" fontId="38" fillId="0" borderId="26" xfId="59" applyNumberFormat="1" applyFont="1" applyBorder="1" applyAlignment="1">
      <alignment horizontal="center"/>
    </xf>
    <xf numFmtId="173" fontId="38" fillId="0" borderId="35" xfId="59" applyNumberFormat="1" applyFont="1" applyBorder="1" applyAlignment="1">
      <alignment horizontal="center"/>
    </xf>
    <xf numFmtId="173" fontId="38" fillId="0" borderId="13" xfId="59" applyNumberFormat="1" applyFont="1" applyBorder="1" applyAlignment="1">
      <alignment horizontal="center"/>
    </xf>
    <xf numFmtId="9" fontId="38" fillId="0" borderId="78" xfId="51" applyFont="1" applyBorder="1" applyAlignment="1">
      <alignment horizontal="center"/>
    </xf>
    <xf numFmtId="9" fontId="38" fillId="0" borderId="26" xfId="51" applyFont="1" applyBorder="1" applyAlignment="1">
      <alignment horizontal="center"/>
    </xf>
    <xf numFmtId="174" fontId="88" fillId="0" borderId="35" xfId="59" applyNumberFormat="1" applyFont="1" applyBorder="1" applyAlignment="1">
      <alignment horizontal="center"/>
    </xf>
    <xf numFmtId="174" fontId="88" fillId="0" borderId="13" xfId="59" applyNumberFormat="1" applyFont="1" applyBorder="1" applyAlignment="1">
      <alignment horizontal="center"/>
    </xf>
    <xf numFmtId="9" fontId="0" fillId="0" borderId="0" xfId="51" applyFont="1" applyAlignment="1">
      <alignment/>
    </xf>
    <xf numFmtId="14" fontId="11" fillId="33" borderId="22" xfId="0" applyNumberFormat="1" applyFont="1" applyFill="1" applyBorder="1" applyAlignment="1" applyProtection="1">
      <alignment horizontal="center" vertical="center"/>
      <protection locked="0"/>
    </xf>
    <xf numFmtId="14" fontId="173" fillId="0" borderId="20" xfId="0" applyNumberFormat="1" applyFont="1" applyBorder="1" applyAlignment="1">
      <alignment horizontal="right"/>
    </xf>
    <xf numFmtId="49" fontId="173" fillId="0" borderId="18" xfId="0" applyNumberFormat="1" applyFont="1" applyBorder="1" applyAlignment="1">
      <alignment/>
    </xf>
    <xf numFmtId="49" fontId="177" fillId="0" borderId="32" xfId="0" applyNumberFormat="1" applyFont="1" applyBorder="1" applyAlignment="1">
      <alignment horizontal="center" wrapText="1"/>
    </xf>
    <xf numFmtId="49" fontId="177" fillId="0" borderId="10" xfId="0" applyNumberFormat="1" applyFont="1" applyBorder="1" applyAlignment="1">
      <alignment horizontal="center" wrapText="1"/>
    </xf>
    <xf numFmtId="0" fontId="177" fillId="0" borderId="87" xfId="0" applyFont="1" applyBorder="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Wirtschaftlichkeit der Ferkelproduktion bei</a:t>
            </a:r>
          </a:p>
        </c:rich>
      </c:tx>
      <c:layout>
        <c:manualLayout>
          <c:xMode val="factor"/>
          <c:yMode val="factor"/>
          <c:x val="-0.098"/>
          <c:y val="-0.019"/>
        </c:manualLayout>
      </c:layout>
      <c:spPr>
        <a:noFill/>
        <a:ln>
          <a:noFill/>
        </a:ln>
      </c:spPr>
    </c:title>
    <c:plotArea>
      <c:layout>
        <c:manualLayout>
          <c:xMode val="edge"/>
          <c:yMode val="edge"/>
          <c:x val="0.03025"/>
          <c:y val="0.21825"/>
          <c:w val="0.93525"/>
          <c:h val="0.72025"/>
        </c:manualLayout>
      </c:layout>
      <c:barChart>
        <c:barDir val="col"/>
        <c:grouping val="clustered"/>
        <c:varyColors val="0"/>
        <c:ser>
          <c:idx val="1"/>
          <c:order val="0"/>
          <c:tx>
            <c:strRef>
              <c:f>' 1 ZS-Aufzf..-Mast'!$B$340</c:f>
              <c:strCache>
                <c:ptCount val="1"/>
                <c:pt idx="0">
                  <c:v>DB je Zuchtsau</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FFFF"/>
              </a:solidFill>
              <a:ln w="3175">
                <a:solidFill>
                  <a:srgbClr val="000000"/>
                </a:solidFill>
              </a:ln>
            </c:spPr>
            <c:txPr>
              <a:bodyPr vert="horz" rot="0" anchor="ctr"/>
              <a:lstStyle/>
              <a:p>
                <a:pPr algn="ctr">
                  <a:defRPr lang="en-US" cap="none" sz="12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 1 ZS-Aufzf..-Mast'!$F$37:$I$37</c:f>
              <c:numCache/>
            </c:numRef>
          </c:cat>
          <c:val>
            <c:numRef>
              <c:f>' 1 ZS-Aufzf..-Mast'!$F$340:$H$340</c:f>
              <c:numCache/>
            </c:numRef>
          </c:val>
        </c:ser>
        <c:gapWidth val="100"/>
        <c:axId val="60277341"/>
        <c:axId val="5625158"/>
      </c:barChart>
      <c:lineChart>
        <c:grouping val="standard"/>
        <c:varyColors val="0"/>
        <c:ser>
          <c:idx val="0"/>
          <c:order val="1"/>
          <c:tx>
            <c:v>Verwertung je Akh bei Neubau</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0.00_ ;[Red]\-#,##0.00\ " sourceLinked="0"/>
            <c:txPr>
              <a:bodyPr vert="horz" rot="0" anchor="ctr"/>
              <a:lstStyle/>
              <a:p>
                <a:pPr algn="ctr">
                  <a:defRPr lang="en-US" cap="none" sz="1200" b="1" i="0" u="none" baseline="0">
                    <a:solidFill>
                      <a:srgbClr val="000000"/>
                    </a:solidFill>
                    <a:latin typeface="Arial"/>
                    <a:ea typeface="Arial"/>
                    <a:cs typeface="Arial"/>
                  </a:defRPr>
                </a:pPr>
              </a:p>
            </c:txPr>
            <c:dLblPos val="b"/>
            <c:showLegendKey val="0"/>
            <c:showVal val="1"/>
            <c:showBubbleSize val="0"/>
            <c:showCatName val="0"/>
            <c:showSerName val="0"/>
            <c:showLeaderLines val="1"/>
            <c:showPercent val="0"/>
          </c:dLbls>
          <c:cat>
            <c:numRef>
              <c:f>' 1 ZS-Aufzf..-Mast'!$F$37:$I$37</c:f>
              <c:numCache/>
            </c:numRef>
          </c:cat>
          <c:val>
            <c:numRef>
              <c:f>(' 1 ZS-Aufzf..-Mast'!$F$58,' 1 ZS-Aufzf..-Mast'!$G$58,' 1 ZS-Aufzf..-Mast'!$H$58)</c:f>
            </c:numRef>
          </c:val>
          <c:smooth val="0"/>
        </c:ser>
        <c:axId val="50626423"/>
        <c:axId val="52984624"/>
      </c:lineChart>
      <c:catAx>
        <c:axId val="60277341"/>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Zahl der verkauften Ferkel/Sau</a:t>
                </a:r>
              </a:p>
            </c:rich>
          </c:tx>
          <c:layout>
            <c:manualLayout>
              <c:xMode val="factor"/>
              <c:yMode val="factor"/>
              <c:x val="-0.0115"/>
              <c:y val="-0.009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625158"/>
        <c:crosses val="autoZero"/>
        <c:auto val="0"/>
        <c:lblOffset val="100"/>
        <c:tickLblSkip val="1"/>
        <c:noMultiLvlLbl val="0"/>
      </c:catAx>
      <c:valAx>
        <c:axId val="5625158"/>
        <c:scaling>
          <c:orientation val="minMax"/>
        </c:scaling>
        <c:axPos val="l"/>
        <c:title>
          <c:tx>
            <c:rich>
              <a:bodyPr vert="horz" rot="0" anchor="ctr"/>
              <a:lstStyle/>
              <a:p>
                <a:pPr algn="ctr">
                  <a:defRPr/>
                </a:pPr>
                <a:r>
                  <a:rPr lang="en-US" cap="none" sz="1100" b="1" i="0" u="none" baseline="0">
                    <a:solidFill>
                      <a:srgbClr val="000000"/>
                    </a:solidFill>
                    <a:latin typeface="Arial"/>
                    <a:ea typeface="Arial"/>
                    <a:cs typeface="Arial"/>
                  </a:rPr>
                  <a:t>DB je Sau</a:t>
                </a:r>
              </a:p>
            </c:rich>
          </c:tx>
          <c:layout>
            <c:manualLayout>
              <c:xMode val="factor"/>
              <c:yMode val="factor"/>
              <c:x val="0.03525"/>
              <c:y val="0.17725"/>
            </c:manualLayout>
          </c:layout>
          <c:overlay val="0"/>
          <c:spPr>
            <a:noFill/>
            <a:ln>
              <a:noFill/>
            </a:ln>
          </c:spPr>
        </c:title>
        <c:delete val="0"/>
        <c:numFmt formatCode="#,##0\ \€;[Red]\-#,##0\ \€"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0277341"/>
        <c:crossesAt val="1"/>
        <c:crossBetween val="between"/>
        <c:dispUnits/>
      </c:valAx>
      <c:catAx>
        <c:axId val="50626423"/>
        <c:scaling>
          <c:orientation val="minMax"/>
        </c:scaling>
        <c:axPos val="b"/>
        <c:delete val="1"/>
        <c:majorTickMark val="out"/>
        <c:minorTickMark val="none"/>
        <c:tickLblPos val="nextTo"/>
        <c:crossAx val="52984624"/>
        <c:crosses val="autoZero"/>
        <c:auto val="0"/>
        <c:lblOffset val="100"/>
        <c:tickLblSkip val="1"/>
        <c:noMultiLvlLbl val="0"/>
      </c:catAx>
      <c:valAx>
        <c:axId val="52984624"/>
        <c:scaling>
          <c:orientation val="minMax"/>
        </c:scaling>
        <c:axPos val="l"/>
        <c:title>
          <c:tx>
            <c:rich>
              <a:bodyPr vert="horz" rot="0" anchor="ctr"/>
              <a:lstStyle/>
              <a:p>
                <a:pPr algn="ctr">
                  <a:defRPr/>
                </a:pPr>
                <a:r>
                  <a:rPr lang="en-US" cap="none" sz="1100" b="1" i="0" u="none" baseline="0">
                    <a:solidFill>
                      <a:srgbClr val="000000"/>
                    </a:solidFill>
                    <a:latin typeface="Arial"/>
                    <a:ea typeface="Arial"/>
                    <a:cs typeface="Arial"/>
                  </a:rPr>
                  <a:t>Entlohnung je AKh</a:t>
                </a:r>
              </a:p>
            </c:rich>
          </c:tx>
          <c:layout>
            <c:manualLayout>
              <c:xMode val="factor"/>
              <c:yMode val="factor"/>
              <c:x val="0.05275"/>
              <c:y val="0.17575"/>
            </c:manualLayout>
          </c:layout>
          <c:overlay val="0"/>
          <c:spPr>
            <a:noFill/>
            <a:ln>
              <a:noFill/>
            </a:ln>
          </c:spPr>
        </c:title>
        <c:delete val="0"/>
        <c:numFmt formatCode="#,##0\ \€;[Red]\-#,##0\ \€"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0626423"/>
        <c:crosses val="max"/>
        <c:crossBetween val="between"/>
        <c:dispUnits/>
      </c:valAx>
      <c:spPr>
        <a:solidFill>
          <a:srgbClr val="FFFFC0"/>
        </a:solidFill>
        <a:ln w="12700">
          <a:solidFill>
            <a:srgbClr val="808080"/>
          </a:solidFill>
        </a:ln>
      </c:spPr>
    </c:plotArea>
    <c:legend>
      <c:legendPos val="r"/>
      <c:layout>
        <c:manualLayout>
          <c:xMode val="edge"/>
          <c:yMode val="edge"/>
          <c:x val="0.2035"/>
          <c:y val="0.1165"/>
          <c:w val="0.54325"/>
          <c:h val="0.10425"/>
        </c:manualLayout>
      </c:layout>
      <c:overlay val="0"/>
      <c:spPr>
        <a:solidFill>
          <a:srgbClr val="FFFFC0"/>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Kostenstruktur in der Schweinehaltung,   Stand:</a:t>
            </a:r>
          </a:p>
        </c:rich>
      </c:tx>
      <c:layout>
        <c:manualLayout>
          <c:xMode val="factor"/>
          <c:yMode val="factor"/>
          <c:x val="-0.07025"/>
          <c:y val="0"/>
        </c:manualLayout>
      </c:layout>
      <c:spPr>
        <a:noFill/>
        <a:ln w="3175">
          <a:noFill/>
        </a:ln>
      </c:spPr>
    </c:title>
    <c:plotArea>
      <c:layout>
        <c:manualLayout>
          <c:xMode val="edge"/>
          <c:yMode val="edge"/>
          <c:x val="0.00625"/>
          <c:y val="0.12275"/>
          <c:w val="0.71125"/>
          <c:h val="0.851"/>
        </c:manualLayout>
      </c:layout>
      <c:barChart>
        <c:barDir val="col"/>
        <c:grouping val="percentStacked"/>
        <c:varyColors val="0"/>
        <c:ser>
          <c:idx val="0"/>
          <c:order val="0"/>
          <c:tx>
            <c:strRef>
              <c:f>' 1 ZS-Aufzf..-Mast'!$K$42</c:f>
              <c:strCache>
                <c:ptCount val="1"/>
                <c:pt idx="0">
                  <c:v>Bestandsergänzung</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 1 ZS-Aufzf..-Mast'!$P$41:$Q$41</c:f>
              <c:strCache/>
            </c:strRef>
          </c:cat>
          <c:val>
            <c:numRef>
              <c:f>' 1 ZS-Aufzf..-Mast'!$P$42:$Q$42</c:f>
              <c:numCache/>
            </c:numRef>
          </c:val>
        </c:ser>
        <c:ser>
          <c:idx val="1"/>
          <c:order val="1"/>
          <c:tx>
            <c:strRef>
              <c:f>' 1 ZS-Aufzf..-Mast'!$K$43</c:f>
              <c:strCache>
                <c:ptCount val="1"/>
                <c:pt idx="0">
                  <c:v>Futter</c:v>
                </c:pt>
              </c:strCache>
            </c:strRef>
          </c:tx>
          <c:spPr>
            <a:pattFill prst="solidDmnd">
              <a:fgClr>
                <a:srgbClr val="80206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 1 ZS-Aufzf..-Mast'!$P$41:$Q$41</c:f>
              <c:strCache/>
            </c:strRef>
          </c:cat>
          <c:val>
            <c:numRef>
              <c:f>' 1 ZS-Aufzf..-Mast'!$P$43:$Q$43</c:f>
              <c:numCache/>
            </c:numRef>
          </c:val>
        </c:ser>
        <c:ser>
          <c:idx val="2"/>
          <c:order val="2"/>
          <c:tx>
            <c:strRef>
              <c:f>' 1 ZS-Aufzf..-Mast'!$K$44</c:f>
              <c:strCache>
                <c:ptCount val="1"/>
                <c:pt idx="0">
                  <c:v>sonst. var. Kosten</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 1 ZS-Aufzf..-Mast'!$P$41:$Q$41</c:f>
              <c:strCache/>
            </c:strRef>
          </c:cat>
          <c:val>
            <c:numRef>
              <c:f>' 1 ZS-Aufzf..-Mast'!$P$44:$Q$44</c:f>
              <c:numCache/>
            </c:numRef>
          </c:val>
        </c:ser>
        <c:ser>
          <c:idx val="3"/>
          <c:order val="3"/>
          <c:tx>
            <c:strRef>
              <c:f>' 1 ZS-Aufzf..-Mast'!$K$45</c:f>
              <c:strCache>
                <c:ptCount val="1"/>
                <c:pt idx="0">
                  <c:v>Stall u. Gemeinkosten</c:v>
                </c:pt>
              </c:strCache>
            </c:strRef>
          </c:tx>
          <c:spPr>
            <a:pattFill prst="wdUpDiag">
              <a:fgClr>
                <a:srgbClr val="A0E0E0"/>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400" b="1" i="0" u="none" baseline="0">
                      <a:solidFill>
                        <a:srgbClr val="000000"/>
                      </a:solidFill>
                      <a:latin typeface="Arial"/>
                      <a:ea typeface="Arial"/>
                      <a:cs typeface="Arial"/>
                    </a:defRPr>
                  </a:pPr>
                </a:p>
              </c:txPr>
              <c:numFmt formatCode="General" sourceLinked="1"/>
              <c:spPr>
                <a:solidFill>
                  <a:srgbClr val="EEECE1"/>
                </a:solidFill>
                <a:ln w="3175">
                  <a:solidFill>
                    <a:srgbClr val="000000"/>
                  </a:solidFill>
                </a:ln>
              </c:spPr>
              <c:showLegendKey val="0"/>
              <c:showVal val="1"/>
              <c:showBubbleSize val="0"/>
              <c:showCatName val="0"/>
              <c:showSerName val="0"/>
              <c:showPercent val="0"/>
            </c:dLbl>
            <c:dLbl>
              <c:idx val="1"/>
              <c:txPr>
                <a:bodyPr vert="horz" rot="0" anchor="ctr"/>
                <a:lstStyle/>
                <a:p>
                  <a:pPr algn="ctr">
                    <a:defRPr lang="en-US" cap="none" sz="1400" b="1" i="0" u="none" baseline="0">
                      <a:solidFill>
                        <a:srgbClr val="000000"/>
                      </a:solidFill>
                      <a:latin typeface="Arial"/>
                      <a:ea typeface="Arial"/>
                      <a:cs typeface="Arial"/>
                    </a:defRPr>
                  </a:pPr>
                </a:p>
              </c:txPr>
              <c:numFmt formatCode="General" sourceLinked="1"/>
              <c:spPr>
                <a:solidFill>
                  <a:srgbClr val="EEECE1"/>
                </a:solidFill>
                <a:ln w="3175">
                  <a:solidFill>
                    <a:srgbClr val="000000"/>
                  </a:solidFill>
                </a:ln>
              </c:spPr>
              <c:showLegendKey val="0"/>
              <c:showVal val="1"/>
              <c:showBubbleSize val="0"/>
              <c:showCatName val="0"/>
              <c:showSerName val="0"/>
              <c:showPercent val="0"/>
            </c:dLbl>
            <c:numFmt formatCode="General" sourceLinked="1"/>
            <c:spPr>
              <a:noFill/>
              <a:ln w="3175">
                <a:solidFill>
                  <a:srgbClr val="000000"/>
                </a:solidFill>
              </a:ln>
            </c:spPr>
            <c:showLegendKey val="0"/>
            <c:showVal val="1"/>
            <c:showBubbleSize val="0"/>
            <c:showCatName val="0"/>
            <c:showSerName val="0"/>
            <c:showPercent val="0"/>
          </c:dLbls>
          <c:cat>
            <c:strRef>
              <c:f>' 1 ZS-Aufzf..-Mast'!$P$41:$Q$41</c:f>
              <c:strCache/>
            </c:strRef>
          </c:cat>
          <c:val>
            <c:numRef>
              <c:f>' 1 ZS-Aufzf..-Mast'!$P$45:$Q$45</c:f>
              <c:numCache/>
            </c:numRef>
          </c:val>
        </c:ser>
        <c:ser>
          <c:idx val="4"/>
          <c:order val="4"/>
          <c:tx>
            <c:strRef>
              <c:f>' 1 ZS-Aufzf..-Mast'!$K$46</c:f>
              <c:strCache>
                <c:ptCount val="1"/>
                <c:pt idx="0">
                  <c:v>Arbeit</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 1 ZS-Aufzf..-Mast'!$P$41:$Q$41</c:f>
              <c:strCache/>
            </c:strRef>
          </c:cat>
          <c:val>
            <c:numRef>
              <c:f>' 1 ZS-Aufzf..-Mast'!$P$46:$Q$46</c:f>
              <c:numCache/>
            </c:numRef>
          </c:val>
        </c:ser>
        <c:overlap val="100"/>
        <c:gapWidth val="100"/>
        <c:axId val="38424533"/>
        <c:axId val="10276478"/>
      </c:barChart>
      <c:catAx>
        <c:axId val="38424533"/>
        <c:scaling>
          <c:orientation val="minMax"/>
        </c:scaling>
        <c:axPos val="b"/>
        <c:delete val="0"/>
        <c:numFmt formatCode="General" sourceLinked="1"/>
        <c:majorTickMark val="out"/>
        <c:minorTickMark val="none"/>
        <c:tickLblPos val="nextTo"/>
        <c:spPr>
          <a:ln w="3175">
            <a:solidFill>
              <a:srgbClr val="000000"/>
            </a:solidFill>
          </a:ln>
        </c:spPr>
        <c:crossAx val="10276478"/>
        <c:crosses val="autoZero"/>
        <c:auto val="1"/>
        <c:lblOffset val="100"/>
        <c:tickLblSkip val="1"/>
        <c:noMultiLvlLbl val="0"/>
      </c:catAx>
      <c:valAx>
        <c:axId val="102764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25" b="1" i="0" u="none" baseline="0">
                <a:solidFill>
                  <a:srgbClr val="000000"/>
                </a:solidFill>
                <a:latin typeface="Arial"/>
                <a:ea typeface="Arial"/>
                <a:cs typeface="Arial"/>
              </a:defRPr>
            </a:pPr>
          </a:p>
        </c:txPr>
        <c:crossAx val="38424533"/>
        <c:crossesAt val="1"/>
        <c:crossBetween val="between"/>
        <c:dispUnits/>
      </c:valAx>
      <c:spPr>
        <a:solidFill>
          <a:srgbClr val="C0C0C0"/>
        </a:solidFill>
        <a:ln w="12700">
          <a:solidFill>
            <a:srgbClr val="808080"/>
          </a:solidFill>
        </a:ln>
      </c:spPr>
    </c:plotArea>
    <c:legend>
      <c:legendPos val="r"/>
      <c:layout>
        <c:manualLayout>
          <c:xMode val="edge"/>
          <c:yMode val="edge"/>
          <c:x val="0.753"/>
          <c:y val="0.159"/>
          <c:w val="0.20025"/>
          <c:h val="0.71025"/>
        </c:manualLayout>
      </c:layout>
      <c:overlay val="0"/>
      <c:spPr>
        <a:solidFill>
          <a:srgbClr val="FFFFC0"/>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Wirtschaftlichkeit der Babyferkelerzeugung bei einer 
Ferkelnotierung (25 kg) von                €            </a:t>
            </a:r>
          </a:p>
        </c:rich>
      </c:tx>
      <c:layout>
        <c:manualLayout>
          <c:xMode val="factor"/>
          <c:yMode val="factor"/>
          <c:x val="-0.00325"/>
          <c:y val="0.00425"/>
        </c:manualLayout>
      </c:layout>
      <c:spPr>
        <a:noFill/>
        <a:ln>
          <a:noFill/>
        </a:ln>
      </c:spPr>
    </c:title>
    <c:plotArea>
      <c:layout>
        <c:manualLayout>
          <c:xMode val="edge"/>
          <c:yMode val="edge"/>
          <c:x val="0.017"/>
          <c:y val="0.22375"/>
          <c:w val="0.9565"/>
          <c:h val="0.72025"/>
        </c:manualLayout>
      </c:layout>
      <c:barChart>
        <c:barDir val="col"/>
        <c:grouping val="clustered"/>
        <c:varyColors val="0"/>
        <c:ser>
          <c:idx val="1"/>
          <c:order val="0"/>
          <c:tx>
            <c:v>DB je Sau</c:v>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_ ;[Red]\-#,##0\ " sourceLinked="0"/>
            <c:spPr>
              <a:solidFill>
                <a:srgbClr val="00FFFF"/>
              </a:solidFill>
              <a:ln w="3175">
                <a:solidFill>
                  <a:srgbClr val="000000"/>
                </a:solidFill>
              </a:ln>
            </c:spPr>
            <c:txPr>
              <a:bodyPr vert="horz" rot="0" anchor="ctr"/>
              <a:lstStyle/>
              <a:p>
                <a:pPr algn="ctr">
                  <a:defRPr lang="en-US" cap="none" sz="1800" b="0" i="0" u="none" baseline="0">
                    <a:solidFill>
                      <a:srgbClr val="000000"/>
                    </a:solidFill>
                    <a:latin typeface="Arial"/>
                    <a:ea typeface="Arial"/>
                    <a:cs typeface="Arial"/>
                  </a:defRPr>
                </a:pPr>
              </a:p>
            </c:txPr>
            <c:showLegendKey val="0"/>
            <c:showVal val="1"/>
            <c:showBubbleSize val="0"/>
            <c:showCatName val="0"/>
            <c:showSerName val="0"/>
            <c:showPercent val="0"/>
          </c:dLbls>
          <c:cat>
            <c:numRef>
              <c:f>'2  ZS-Babyf.-Aufz.'!$F$35:$H$35</c:f>
              <c:numCache/>
            </c:numRef>
          </c:cat>
          <c:val>
            <c:numRef>
              <c:f>'2  ZS-Babyf.-Aufz.'!$F$49:$H$49</c:f>
              <c:numCache/>
            </c:numRef>
          </c:val>
        </c:ser>
        <c:gapWidth val="100"/>
        <c:axId val="25379439"/>
        <c:axId val="27088360"/>
      </c:barChart>
      <c:lineChart>
        <c:grouping val="standard"/>
        <c:varyColors val="0"/>
        <c:ser>
          <c:idx val="0"/>
          <c:order val="1"/>
          <c:tx>
            <c:v>Verwertung je AKh bei Neubau</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0.00_ ;[Red]\-#,##0.00\ " sourceLinked="0"/>
            <c:txPr>
              <a:bodyPr vert="horz" rot="0" anchor="ctr"/>
              <a:lstStyle/>
              <a:p>
                <a:pPr algn="ctr">
                  <a:defRPr lang="en-US" cap="none" sz="1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'2  ZS-Babyf.-Aufz.'!$F$54:$H$54</c:f>
              <c:numCache/>
            </c:numRef>
          </c:val>
          <c:smooth val="0"/>
        </c:ser>
        <c:axId val="42468649"/>
        <c:axId val="46673522"/>
      </c:lineChart>
      <c:catAx>
        <c:axId val="25379439"/>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Zahl der abgesetzten Babyferkel</a:t>
                </a:r>
              </a:p>
            </c:rich>
          </c:tx>
          <c:layout>
            <c:manualLayout>
              <c:xMode val="factor"/>
              <c:yMode val="factor"/>
              <c:x val="-0.01375"/>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800" b="1" i="0" u="none" baseline="0">
                <a:solidFill>
                  <a:srgbClr val="000000"/>
                </a:solidFill>
                <a:latin typeface="Arial"/>
                <a:ea typeface="Arial"/>
                <a:cs typeface="Arial"/>
              </a:defRPr>
            </a:pPr>
          </a:p>
        </c:txPr>
        <c:crossAx val="27088360"/>
        <c:crosses val="autoZero"/>
        <c:auto val="0"/>
        <c:lblOffset val="100"/>
        <c:tickLblSkip val="1"/>
        <c:noMultiLvlLbl val="0"/>
      </c:catAx>
      <c:valAx>
        <c:axId val="27088360"/>
        <c:scaling>
          <c:orientation val="minMax"/>
        </c:scaling>
        <c:axPos val="l"/>
        <c:title>
          <c:tx>
            <c:rich>
              <a:bodyPr vert="horz" rot="0" anchor="ctr"/>
              <a:lstStyle/>
              <a:p>
                <a:pPr algn="ctr">
                  <a:defRPr/>
                </a:pPr>
                <a:r>
                  <a:rPr lang="en-US" cap="none" sz="1400" b="1" i="0" u="none" baseline="0">
                    <a:solidFill>
                      <a:srgbClr val="000000"/>
                    </a:solidFill>
                    <a:latin typeface="Arial"/>
                    <a:ea typeface="Arial"/>
                    <a:cs typeface="Arial"/>
                  </a:rPr>
                  <a:t>DB je Sau</a:t>
                </a:r>
              </a:p>
            </c:rich>
          </c:tx>
          <c:layout>
            <c:manualLayout>
              <c:xMode val="factor"/>
              <c:yMode val="factor"/>
              <c:x val="0.022"/>
              <c:y val="0.1575"/>
            </c:manualLayout>
          </c:layout>
          <c:overlay val="0"/>
          <c:spPr>
            <a:noFill/>
            <a:ln>
              <a:noFill/>
            </a:ln>
          </c:spPr>
        </c:title>
        <c:delete val="0"/>
        <c:numFmt formatCode="#,##0\ \€;[Red]\-#,##0\ \€" sourceLinked="0"/>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5379439"/>
        <c:crossesAt val="1"/>
        <c:crossBetween val="between"/>
        <c:dispUnits/>
      </c:valAx>
      <c:catAx>
        <c:axId val="42468649"/>
        <c:scaling>
          <c:orientation val="minMax"/>
        </c:scaling>
        <c:axPos val="b"/>
        <c:delete val="1"/>
        <c:majorTickMark val="out"/>
        <c:minorTickMark val="none"/>
        <c:tickLblPos val="nextTo"/>
        <c:crossAx val="46673522"/>
        <c:crosses val="autoZero"/>
        <c:auto val="0"/>
        <c:lblOffset val="100"/>
        <c:tickLblSkip val="1"/>
        <c:noMultiLvlLbl val="0"/>
      </c:catAx>
      <c:valAx>
        <c:axId val="46673522"/>
        <c:scaling>
          <c:orientation val="minMax"/>
        </c:scaling>
        <c:axPos val="l"/>
        <c:title>
          <c:tx>
            <c:rich>
              <a:bodyPr vert="horz" rot="0" anchor="ctr"/>
              <a:lstStyle/>
              <a:p>
                <a:pPr algn="ctr">
                  <a:defRPr/>
                </a:pPr>
                <a:r>
                  <a:rPr lang="en-US" cap="none" sz="1400" b="1" i="0" u="none" baseline="0">
                    <a:solidFill>
                      <a:srgbClr val="000000"/>
                    </a:solidFill>
                    <a:latin typeface="Arial"/>
                    <a:ea typeface="Arial"/>
                    <a:cs typeface="Arial"/>
                  </a:rPr>
                  <a:t>Verwertung je AKh</a:t>
                </a:r>
              </a:p>
            </c:rich>
          </c:tx>
          <c:layout>
            <c:manualLayout>
              <c:xMode val="factor"/>
              <c:yMode val="factor"/>
              <c:x val="0.03375"/>
              <c:y val="0.149"/>
            </c:manualLayout>
          </c:layout>
          <c:overlay val="0"/>
          <c:spPr>
            <a:noFill/>
            <a:ln>
              <a:noFill/>
            </a:ln>
          </c:spPr>
        </c:title>
        <c:delete val="0"/>
        <c:numFmt formatCode="#,##0.00\ \€;[Red]\-#,##0.00\ \€" sourceLinked="0"/>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2468649"/>
        <c:crosses val="max"/>
        <c:crossBetween val="between"/>
        <c:dispUnits/>
      </c:valAx>
      <c:spPr>
        <a:solidFill>
          <a:srgbClr val="FFFFC0"/>
        </a:solidFill>
        <a:ln w="12700">
          <a:solidFill>
            <a:srgbClr val="808080"/>
          </a:solidFill>
        </a:ln>
      </c:spPr>
    </c:plotArea>
    <c:legend>
      <c:legendPos val="r"/>
      <c:layout>
        <c:manualLayout>
          <c:xMode val="edge"/>
          <c:yMode val="edge"/>
          <c:x val="0.1665"/>
          <c:y val="0.1555"/>
          <c:w val="0.64125"/>
          <c:h val="0.06325"/>
        </c:manualLayout>
      </c:layout>
      <c:overlay val="0"/>
      <c:spPr>
        <a:solidFill>
          <a:srgbClr val="FFFFC0"/>
        </a:solidFill>
        <a:ln w="3175">
          <a:solidFill>
            <a:srgbClr val="000000"/>
          </a:solidFill>
        </a:ln>
      </c:spPr>
      <c:txPr>
        <a:bodyPr vert="horz" rot="0"/>
        <a:lstStyle/>
        <a:p>
          <a:pPr>
            <a:defRPr lang="en-US" cap="none" sz="114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Wirtschaftlichkeit der Ferkelaufzucht bei einer 
Ferkelnotierung (25 kg) von                €            </a:t>
            </a:r>
          </a:p>
        </c:rich>
      </c:tx>
      <c:layout>
        <c:manualLayout>
          <c:xMode val="factor"/>
          <c:yMode val="factor"/>
          <c:x val="-0.01"/>
          <c:y val="-0.003"/>
        </c:manualLayout>
      </c:layout>
      <c:spPr>
        <a:noFill/>
        <a:ln>
          <a:noFill/>
        </a:ln>
      </c:spPr>
    </c:title>
    <c:plotArea>
      <c:layout>
        <c:manualLayout>
          <c:xMode val="edge"/>
          <c:yMode val="edge"/>
          <c:x val="0.01725"/>
          <c:y val="0.228"/>
          <c:w val="0.956"/>
          <c:h val="0.70525"/>
        </c:manualLayout>
      </c:layout>
      <c:barChart>
        <c:barDir val="col"/>
        <c:grouping val="clustered"/>
        <c:varyColors val="0"/>
        <c:ser>
          <c:idx val="1"/>
          <c:order val="0"/>
          <c:tx>
            <c:v>DB je Aufzuchtplatz</c:v>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_ ;[Red]\-#,##0\ " sourceLinked="0"/>
            <c:spPr>
              <a:solidFill>
                <a:srgbClr val="00FFFF"/>
              </a:solidFill>
              <a:ln w="3175">
                <a:solidFill>
                  <a:srgbClr val="000000"/>
                </a:solidFill>
              </a:ln>
            </c:spPr>
            <c:txPr>
              <a:bodyPr vert="horz" rot="0" anchor="ctr"/>
              <a:lstStyle/>
              <a:p>
                <a:pPr algn="ctr">
                  <a:defRPr lang="en-US" cap="none" sz="1800" b="0" i="0" u="none" baseline="0">
                    <a:solidFill>
                      <a:srgbClr val="000000"/>
                    </a:solidFill>
                    <a:latin typeface="Arial"/>
                    <a:ea typeface="Arial"/>
                    <a:cs typeface="Arial"/>
                  </a:defRPr>
                </a:pPr>
              </a:p>
            </c:txPr>
            <c:showLegendKey val="0"/>
            <c:showVal val="1"/>
            <c:showBubbleSize val="0"/>
            <c:showCatName val="0"/>
            <c:showSerName val="0"/>
            <c:showPercent val="0"/>
          </c:dLbls>
          <c:cat>
            <c:strRef>
              <c:f>'2  ZS-Babyf.-Aufz.'!$F$98:$H$98</c:f>
              <c:strCache/>
            </c:strRef>
          </c:cat>
          <c:val>
            <c:numRef>
              <c:f>'2  ZS-Babyf.-Aufz.'!$F$112:$H$112</c:f>
              <c:numCache/>
            </c:numRef>
          </c:val>
        </c:ser>
        <c:gapWidth val="100"/>
        <c:axId val="17408515"/>
        <c:axId val="22458908"/>
      </c:barChart>
      <c:lineChart>
        <c:grouping val="standard"/>
        <c:varyColors val="0"/>
        <c:ser>
          <c:idx val="0"/>
          <c:order val="1"/>
          <c:tx>
            <c:v>Verwertung je AKh bei Neubau</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0.00_ ;[Red]\-#,##0.00\ " sourceLinked="0"/>
            <c:txPr>
              <a:bodyPr vert="horz" rot="0" anchor="ctr"/>
              <a:lstStyle/>
              <a:p>
                <a:pPr algn="ctr">
                  <a:defRPr lang="en-US" cap="none" sz="1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'2  ZS-Babyf.-Aufz.'!$F$117:$H$117</c:f>
              <c:numCache/>
            </c:numRef>
          </c:val>
          <c:smooth val="0"/>
        </c:ser>
        <c:axId val="803581"/>
        <c:axId val="7232230"/>
      </c:lineChart>
      <c:catAx>
        <c:axId val="17408515"/>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Leistungsniveau</a:t>
                </a:r>
              </a:p>
            </c:rich>
          </c:tx>
          <c:layout>
            <c:manualLayout>
              <c:xMode val="factor"/>
              <c:yMode val="factor"/>
              <c:x val="-0.01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800" b="1" i="0" u="none" baseline="0">
                <a:solidFill>
                  <a:srgbClr val="000000"/>
                </a:solidFill>
                <a:latin typeface="Arial"/>
                <a:ea typeface="Arial"/>
                <a:cs typeface="Arial"/>
              </a:defRPr>
            </a:pPr>
          </a:p>
        </c:txPr>
        <c:crossAx val="22458908"/>
        <c:crosses val="autoZero"/>
        <c:auto val="0"/>
        <c:lblOffset val="100"/>
        <c:tickLblSkip val="1"/>
        <c:noMultiLvlLbl val="0"/>
      </c:catAx>
      <c:valAx>
        <c:axId val="22458908"/>
        <c:scaling>
          <c:orientation val="minMax"/>
        </c:scaling>
        <c:axPos val="l"/>
        <c:title>
          <c:tx>
            <c:rich>
              <a:bodyPr vert="horz" rot="0" anchor="ctr"/>
              <a:lstStyle/>
              <a:p>
                <a:pPr algn="ctr">
                  <a:defRPr/>
                </a:pPr>
                <a:r>
                  <a:rPr lang="en-US" cap="none" sz="1400" b="1" i="0" u="none" baseline="0">
                    <a:solidFill>
                      <a:srgbClr val="000000"/>
                    </a:solidFill>
                    <a:latin typeface="Arial"/>
                    <a:ea typeface="Arial"/>
                    <a:cs typeface="Arial"/>
                  </a:rPr>
                  <a:t>DB je Platz</a:t>
                </a:r>
              </a:p>
            </c:rich>
          </c:tx>
          <c:layout>
            <c:manualLayout>
              <c:xMode val="factor"/>
              <c:yMode val="factor"/>
              <c:x val="0.02525"/>
              <c:y val="0.15525"/>
            </c:manualLayout>
          </c:layout>
          <c:overlay val="0"/>
          <c:spPr>
            <a:noFill/>
            <a:ln>
              <a:noFill/>
            </a:ln>
          </c:spPr>
        </c:title>
        <c:delete val="0"/>
        <c:numFmt formatCode="#,##0\ \€;[Red]\-#,##0\ \€" sourceLinked="0"/>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7408515"/>
        <c:crossesAt val="1"/>
        <c:crossBetween val="between"/>
        <c:dispUnits/>
      </c:valAx>
      <c:catAx>
        <c:axId val="803581"/>
        <c:scaling>
          <c:orientation val="minMax"/>
        </c:scaling>
        <c:axPos val="b"/>
        <c:delete val="1"/>
        <c:majorTickMark val="out"/>
        <c:minorTickMark val="none"/>
        <c:tickLblPos val="nextTo"/>
        <c:crossAx val="7232230"/>
        <c:crosses val="autoZero"/>
        <c:auto val="0"/>
        <c:lblOffset val="100"/>
        <c:tickLblSkip val="1"/>
        <c:noMultiLvlLbl val="0"/>
      </c:catAx>
      <c:valAx>
        <c:axId val="7232230"/>
        <c:scaling>
          <c:orientation val="minMax"/>
        </c:scaling>
        <c:axPos val="l"/>
        <c:title>
          <c:tx>
            <c:rich>
              <a:bodyPr vert="horz" rot="0" anchor="ctr"/>
              <a:lstStyle/>
              <a:p>
                <a:pPr algn="ctr">
                  <a:defRPr/>
                </a:pPr>
                <a:r>
                  <a:rPr lang="en-US" cap="none" sz="1600" b="1" i="0" u="none" baseline="0">
                    <a:solidFill>
                      <a:srgbClr val="000000"/>
                    </a:solidFill>
                    <a:latin typeface="Arial"/>
                    <a:ea typeface="Arial"/>
                    <a:cs typeface="Arial"/>
                  </a:rPr>
                  <a:t>Verwertung je AKh</a:t>
                </a:r>
              </a:p>
            </c:rich>
          </c:tx>
          <c:layout>
            <c:manualLayout>
              <c:xMode val="factor"/>
              <c:yMode val="factor"/>
              <c:x val="0.03425"/>
              <c:y val="0.1545"/>
            </c:manualLayout>
          </c:layout>
          <c:overlay val="0"/>
          <c:spPr>
            <a:noFill/>
            <a:ln>
              <a:noFill/>
            </a:ln>
          </c:spPr>
        </c:title>
        <c:delete val="0"/>
        <c:numFmt formatCode="#,##0.00\ \€;[Red]\-#,##0.00\ \€" sourceLinked="0"/>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803581"/>
        <c:crosses val="max"/>
        <c:crossBetween val="between"/>
        <c:dispUnits/>
      </c:valAx>
      <c:spPr>
        <a:solidFill>
          <a:srgbClr val="FFFFC0"/>
        </a:solidFill>
        <a:ln w="12700">
          <a:solidFill>
            <a:srgbClr val="808080"/>
          </a:solidFill>
        </a:ln>
      </c:spPr>
    </c:plotArea>
    <c:legend>
      <c:legendPos val="r"/>
      <c:layout>
        <c:manualLayout>
          <c:xMode val="edge"/>
          <c:yMode val="edge"/>
          <c:x val="0.169"/>
          <c:y val="0.16225"/>
          <c:w val="0.6395"/>
          <c:h val="0.06725"/>
        </c:manualLayout>
      </c:layout>
      <c:overlay val="0"/>
      <c:spPr>
        <a:solidFill>
          <a:srgbClr val="FFFFC0"/>
        </a:solidFill>
        <a:ln w="3175">
          <a:solidFill>
            <a:srgbClr val="000000"/>
          </a:solidFill>
        </a:ln>
      </c:spPr>
      <c:txPr>
        <a:bodyPr vert="horz" rot="0"/>
        <a:lstStyle/>
        <a:p>
          <a:pPr>
            <a:defRPr lang="en-US" cap="none" sz="114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solidFill>
                  <a:srgbClr val="000000"/>
                </a:solidFill>
                <a:latin typeface="Arial"/>
                <a:ea typeface="Arial"/>
                <a:cs typeface="Arial"/>
              </a:rPr>
              <a:t>Kostenstruktur in der Schweinehaltung , Stand:</a:t>
            </a:r>
          </a:p>
        </c:rich>
      </c:tx>
      <c:layout>
        <c:manualLayout>
          <c:xMode val="factor"/>
          <c:yMode val="factor"/>
          <c:x val="-0.0745"/>
          <c:y val="0.00125"/>
        </c:manualLayout>
      </c:layout>
      <c:spPr>
        <a:noFill/>
        <a:ln>
          <a:noFill/>
        </a:ln>
      </c:spPr>
    </c:title>
    <c:plotArea>
      <c:layout>
        <c:manualLayout>
          <c:xMode val="edge"/>
          <c:yMode val="edge"/>
          <c:x val="0.00125"/>
          <c:y val="0.13925"/>
          <c:w val="0.77825"/>
          <c:h val="0.836"/>
        </c:manualLayout>
      </c:layout>
      <c:barChart>
        <c:barDir val="col"/>
        <c:grouping val="percentStacked"/>
        <c:varyColors val="0"/>
        <c:ser>
          <c:idx val="0"/>
          <c:order val="0"/>
          <c:tx>
            <c:strRef>
              <c:f>'2  ZS-Babyf.-Aufz.'!$M$88</c:f>
              <c:strCache>
                <c:ptCount val="1"/>
                <c:pt idx="0">
                  <c:v>Bestandsergänzung</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cat>
            <c:strRef>
              <c:f>'2  ZS-Babyf.-Aufz.'!$O$80:$P$80</c:f>
              <c:strCache/>
            </c:strRef>
          </c:cat>
          <c:val>
            <c:numRef>
              <c:f>'2  ZS-Babyf.-Aufz.'!$O$88:$P$88</c:f>
              <c:numCache/>
            </c:numRef>
          </c:val>
        </c:ser>
        <c:ser>
          <c:idx val="1"/>
          <c:order val="1"/>
          <c:tx>
            <c:strRef>
              <c:f>'2  ZS-Babyf.-Aufz.'!$M$89</c:f>
              <c:strCache>
                <c:ptCount val="1"/>
                <c:pt idx="0">
                  <c:v>Futter</c:v>
                </c:pt>
              </c:strCache>
            </c:strRef>
          </c:tx>
          <c:spPr>
            <a:pattFill prst="solidDmnd">
              <a:fgClr>
                <a:srgbClr val="80206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cat>
            <c:strRef>
              <c:f>'2  ZS-Babyf.-Aufz.'!$O$80:$P$80</c:f>
              <c:strCache/>
            </c:strRef>
          </c:cat>
          <c:val>
            <c:numRef>
              <c:f>'2  ZS-Babyf.-Aufz.'!$O$89:$P$89</c:f>
              <c:numCache/>
            </c:numRef>
          </c:val>
        </c:ser>
        <c:ser>
          <c:idx val="2"/>
          <c:order val="2"/>
          <c:tx>
            <c:strRef>
              <c:f>'2  ZS-Babyf.-Aufz.'!$M$90</c:f>
              <c:strCache>
                <c:ptCount val="1"/>
                <c:pt idx="0">
                  <c:v>sonst. var. Kosten</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cat>
            <c:strRef>
              <c:f>'2  ZS-Babyf.-Aufz.'!$O$80:$P$80</c:f>
              <c:strCache/>
            </c:strRef>
          </c:cat>
          <c:val>
            <c:numRef>
              <c:f>'2  ZS-Babyf.-Aufz.'!$O$90:$P$90</c:f>
              <c:numCache/>
            </c:numRef>
          </c:val>
        </c:ser>
        <c:ser>
          <c:idx val="3"/>
          <c:order val="3"/>
          <c:tx>
            <c:strRef>
              <c:f>'2  ZS-Babyf.-Aufz.'!$M$91</c:f>
              <c:strCache>
                <c:ptCount val="1"/>
                <c:pt idx="0">
                  <c:v>Stall u. Gemeinkosten</c:v>
                </c:pt>
              </c:strCache>
            </c:strRef>
          </c:tx>
          <c:spPr>
            <a:pattFill prst="wdUpDiag">
              <a:fgClr>
                <a:srgbClr val="A0E0E0"/>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solidFill>
                  <a:srgbClr val="000000"/>
                </a:solidFill>
              </a:ln>
            </c:spPr>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cat>
            <c:strRef>
              <c:f>'2  ZS-Babyf.-Aufz.'!$O$80:$P$80</c:f>
              <c:strCache/>
            </c:strRef>
          </c:cat>
          <c:val>
            <c:numRef>
              <c:f>'2  ZS-Babyf.-Aufz.'!$O$91:$P$91</c:f>
              <c:numCache/>
            </c:numRef>
          </c:val>
        </c:ser>
        <c:ser>
          <c:idx val="4"/>
          <c:order val="4"/>
          <c:tx>
            <c:strRef>
              <c:f>'2  ZS-Babyf.-Aufz.'!$M$92</c:f>
              <c:strCache>
                <c:ptCount val="1"/>
                <c:pt idx="0">
                  <c:v>Arbeit</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4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'2  ZS-Babyf.-Aufz.'!$O$80:$P$80</c:f>
              <c:strCache/>
            </c:strRef>
          </c:cat>
          <c:val>
            <c:numRef>
              <c:f>'2  ZS-Babyf.-Aufz.'!$O$92:$P$92</c:f>
              <c:numCache/>
            </c:numRef>
          </c:val>
        </c:ser>
        <c:overlap val="100"/>
        <c:gapWidth val="100"/>
        <c:axId val="65090071"/>
        <c:axId val="48939728"/>
      </c:barChart>
      <c:catAx>
        <c:axId val="6509007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00" b="1" i="0" u="none" baseline="0">
                <a:solidFill>
                  <a:srgbClr val="000000"/>
                </a:solidFill>
                <a:latin typeface="Arial"/>
                <a:ea typeface="Arial"/>
                <a:cs typeface="Arial"/>
              </a:defRPr>
            </a:pPr>
          </a:p>
        </c:txPr>
        <c:crossAx val="48939728"/>
        <c:crosses val="autoZero"/>
        <c:auto val="1"/>
        <c:lblOffset val="100"/>
        <c:tickLblSkip val="1"/>
        <c:noMultiLvlLbl val="0"/>
      </c:catAx>
      <c:valAx>
        <c:axId val="489397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090071"/>
        <c:crossesAt val="1"/>
        <c:crossBetween val="between"/>
        <c:dispUnits/>
      </c:valAx>
      <c:spPr>
        <a:solidFill>
          <a:srgbClr val="C0C0C0"/>
        </a:solidFill>
        <a:ln w="12700">
          <a:solidFill>
            <a:srgbClr val="808080"/>
          </a:solidFill>
        </a:ln>
      </c:spPr>
    </c:plotArea>
    <c:legend>
      <c:legendPos val="r"/>
      <c:layout>
        <c:manualLayout>
          <c:xMode val="edge"/>
          <c:yMode val="edge"/>
          <c:x val="0.803"/>
          <c:y val="0.156"/>
          <c:w val="0.179"/>
          <c:h val="0.7415"/>
        </c:manualLayout>
      </c:layout>
      <c:overlay val="0"/>
      <c:spPr>
        <a:solidFill>
          <a:srgbClr val="FFFFC0"/>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250" b="1"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Wirtschaftlichkeit der Schweinemast bei </a:t>
            </a:r>
          </a:p>
        </c:rich>
      </c:tx>
      <c:layout>
        <c:manualLayout>
          <c:xMode val="factor"/>
          <c:yMode val="factor"/>
          <c:x val="-0.273"/>
          <c:y val="-0.01825"/>
        </c:manualLayout>
      </c:layout>
      <c:spPr>
        <a:noFill/>
        <a:ln>
          <a:noFill/>
        </a:ln>
      </c:spPr>
    </c:title>
    <c:plotArea>
      <c:layout>
        <c:manualLayout>
          <c:xMode val="edge"/>
          <c:yMode val="edge"/>
          <c:x val="0.01975"/>
          <c:y val="0.24275"/>
          <c:w val="0.9565"/>
          <c:h val="0.684"/>
        </c:manualLayout>
      </c:layout>
      <c:barChart>
        <c:barDir val="col"/>
        <c:grouping val="clustered"/>
        <c:varyColors val="0"/>
        <c:ser>
          <c:idx val="1"/>
          <c:order val="0"/>
          <c:tx>
            <c:strRef>
              <c:f>' 1 ZS-Aufzf..-Mast'!$B$355</c:f>
              <c:strCache>
                <c:ptCount val="1"/>
                <c:pt idx="0">
                  <c:v>DB je Mastplatz</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400" b="0" i="0" u="none" baseline="0">
                      <a:solidFill>
                        <a:srgbClr val="000000"/>
                      </a:solidFill>
                      <a:latin typeface="Arial"/>
                      <a:ea typeface="Arial"/>
                      <a:cs typeface="Arial"/>
                    </a:defRPr>
                  </a:pPr>
                </a:p>
              </c:txPr>
              <c:numFmt formatCode="General" sourceLinked="1"/>
              <c:spPr>
                <a:solidFill>
                  <a:srgbClr val="00FFFF"/>
                </a:solidFill>
                <a:ln w="3175">
                  <a:solidFill>
                    <a:srgbClr val="000000"/>
                  </a:solidFill>
                </a:ln>
              </c:spPr>
              <c:dLblPos val="inEnd"/>
              <c:showLegendKey val="0"/>
              <c:showVal val="1"/>
              <c:showBubbleSize val="0"/>
              <c:showCatName val="0"/>
              <c:showSerName val="0"/>
              <c:showPercent val="0"/>
            </c:dLbl>
            <c:dLbl>
              <c:idx val="1"/>
              <c:txPr>
                <a:bodyPr vert="horz" rot="0" anchor="ctr"/>
                <a:lstStyle/>
                <a:p>
                  <a:pPr algn="ctr">
                    <a:defRPr lang="en-US" cap="none" sz="1400" b="0" i="0" u="none" baseline="0">
                      <a:solidFill>
                        <a:srgbClr val="000000"/>
                      </a:solidFill>
                      <a:latin typeface="Arial"/>
                      <a:ea typeface="Arial"/>
                      <a:cs typeface="Arial"/>
                    </a:defRPr>
                  </a:pPr>
                </a:p>
              </c:txPr>
              <c:numFmt formatCode="General" sourceLinked="1"/>
              <c:spPr>
                <a:solidFill>
                  <a:srgbClr val="00FFFF"/>
                </a:solidFill>
                <a:ln w="3175">
                  <a:solidFill>
                    <a:srgbClr val="000000"/>
                  </a:solidFill>
                </a:ln>
              </c:spPr>
              <c:dLblPos val="inEnd"/>
              <c:showLegendKey val="0"/>
              <c:showVal val="1"/>
              <c:showBubbleSize val="0"/>
              <c:showCatName val="0"/>
              <c:showSerName val="0"/>
              <c:showPercent val="0"/>
            </c:dLbl>
            <c:dLbl>
              <c:idx val="2"/>
              <c:txPr>
                <a:bodyPr vert="horz" rot="0" anchor="ctr"/>
                <a:lstStyle/>
                <a:p>
                  <a:pPr algn="ctr">
                    <a:defRPr lang="en-US" cap="none" sz="1400" b="0" i="0" u="none" baseline="0">
                      <a:solidFill>
                        <a:srgbClr val="000000"/>
                      </a:solidFill>
                      <a:latin typeface="Arial"/>
                      <a:ea typeface="Arial"/>
                      <a:cs typeface="Arial"/>
                    </a:defRPr>
                  </a:pPr>
                </a:p>
              </c:txPr>
              <c:numFmt formatCode="General" sourceLinked="1"/>
              <c:spPr>
                <a:solidFill>
                  <a:srgbClr val="00FFFF"/>
                </a:solidFill>
                <a:ln w="3175">
                  <a:solidFill>
                    <a:srgbClr val="000000"/>
                  </a:solidFill>
                </a:ln>
              </c:spPr>
              <c:dLblPos val="inEnd"/>
              <c:showLegendKey val="0"/>
              <c:showVal val="1"/>
              <c:showBubbleSize val="0"/>
              <c:showCatName val="0"/>
              <c:showSerName val="0"/>
              <c:showPercent val="0"/>
            </c:dLbl>
            <c:numFmt formatCode="General" sourceLinked="1"/>
            <c:spPr>
              <a:solidFill>
                <a:srgbClr val="00FFFF"/>
              </a:solidFill>
              <a:ln w="3175">
                <a:solidFill>
                  <a:srgbClr val="000000"/>
                </a:solidFill>
              </a:ln>
            </c:spPr>
            <c:txPr>
              <a:bodyPr vert="horz" rot="0" anchor="ctr"/>
              <a:lstStyle/>
              <a:p>
                <a:pPr algn="ctr">
                  <a:defRPr lang="en-US" cap="none" sz="14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 1 ZS-Aufzf..-Mast'!$F$354:$H$354</c:f>
              <c:strCache/>
            </c:strRef>
          </c:cat>
          <c:val>
            <c:numRef>
              <c:f>' 1 ZS-Aufzf..-Mast'!$F$355:$H$355</c:f>
              <c:numCache/>
            </c:numRef>
          </c:val>
        </c:ser>
        <c:axId val="7099569"/>
        <c:axId val="63896122"/>
      </c:barChart>
      <c:lineChart>
        <c:grouping val="standard"/>
        <c:varyColors val="0"/>
        <c:ser>
          <c:idx val="3"/>
          <c:order val="1"/>
          <c:tx>
            <c:v>Verwertung je Akh bei Neubau</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FF"/>
              </a:solidFill>
              <a:ln>
                <a:solidFill>
                  <a:srgbClr val="0000FF"/>
                </a:solidFill>
              </a:ln>
            </c:spPr>
          </c:marker>
          <c:dLbls>
            <c:numFmt formatCode="#,##0.00_ ;[Red]\-#,##0.00\ " sourceLinked="0"/>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 1 ZS-Aufzf..-Mast'!$F$354:$H$354</c:f>
              <c:strCache/>
            </c:strRef>
          </c:cat>
          <c:val>
            <c:numRef>
              <c:f>(' 1 ZS-Aufzf..-Mast'!$F$117,' 1 ZS-Aufzf..-Mast'!$G$117,' 1 ZS-Aufzf..-Mast'!$H$117)</c:f>
              <c:numCache/>
            </c:numRef>
          </c:val>
          <c:smooth val="0"/>
        </c:ser>
        <c:axId val="38194187"/>
        <c:axId val="8203364"/>
      </c:lineChart>
      <c:catAx>
        <c:axId val="709956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Leistungsniveau</a:t>
                </a:r>
              </a:p>
            </c:rich>
          </c:tx>
          <c:layout>
            <c:manualLayout>
              <c:xMode val="factor"/>
              <c:yMode val="factor"/>
              <c:x val="-0.01275"/>
              <c:y val="-0.001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63896122"/>
        <c:crosses val="autoZero"/>
        <c:auto val="0"/>
        <c:lblOffset val="100"/>
        <c:tickLblSkip val="1"/>
        <c:noMultiLvlLbl val="0"/>
      </c:catAx>
      <c:valAx>
        <c:axId val="63896122"/>
        <c:scaling>
          <c:orientation val="minMax"/>
        </c:scaling>
        <c:axPos val="l"/>
        <c:title>
          <c:tx>
            <c:rich>
              <a:bodyPr vert="horz" rot="0" anchor="ctr"/>
              <a:lstStyle/>
              <a:p>
                <a:pPr algn="ctr">
                  <a:defRPr/>
                </a:pPr>
                <a:r>
                  <a:rPr lang="en-US" cap="none" sz="1400" b="1" i="0" u="none" baseline="0">
                    <a:solidFill>
                      <a:srgbClr val="000000"/>
                    </a:solidFill>
                    <a:latin typeface="Arial"/>
                    <a:ea typeface="Arial"/>
                    <a:cs typeface="Arial"/>
                  </a:rPr>
                  <a:t>DB je
Mastplatz</a:t>
                </a:r>
              </a:p>
            </c:rich>
          </c:tx>
          <c:layout>
            <c:manualLayout>
              <c:xMode val="factor"/>
              <c:yMode val="factor"/>
              <c:x val="0.0255"/>
              <c:y val="0.167"/>
            </c:manualLayout>
          </c:layout>
          <c:overlay val="0"/>
          <c:spPr>
            <a:noFill/>
            <a:ln>
              <a:noFill/>
            </a:ln>
          </c:spPr>
        </c:title>
        <c:delete val="0"/>
        <c:numFmt formatCode="#,##0\ \€;[Red]\-#,##0\ \€" sourceLinked="0"/>
        <c:majorTickMark val="out"/>
        <c:minorTickMark val="none"/>
        <c:tickLblPos val="nextTo"/>
        <c:spPr>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crossAx val="7099569"/>
        <c:crossesAt val="1"/>
        <c:crossBetween val="between"/>
        <c:dispUnits/>
      </c:valAx>
      <c:catAx>
        <c:axId val="38194187"/>
        <c:scaling>
          <c:orientation val="minMax"/>
        </c:scaling>
        <c:axPos val="b"/>
        <c:delete val="1"/>
        <c:majorTickMark val="out"/>
        <c:minorTickMark val="none"/>
        <c:tickLblPos val="nextTo"/>
        <c:crossAx val="8203364"/>
        <c:crosses val="autoZero"/>
        <c:auto val="0"/>
        <c:lblOffset val="100"/>
        <c:tickLblSkip val="1"/>
        <c:noMultiLvlLbl val="0"/>
      </c:catAx>
      <c:valAx>
        <c:axId val="8203364"/>
        <c:scaling>
          <c:orientation val="minMax"/>
        </c:scaling>
        <c:axPos val="l"/>
        <c:title>
          <c:tx>
            <c:rich>
              <a:bodyPr vert="horz" rot="0" anchor="ctr"/>
              <a:lstStyle/>
              <a:p>
                <a:pPr algn="ctr">
                  <a:defRPr/>
                </a:pPr>
                <a:r>
                  <a:rPr lang="en-US" cap="none" sz="1400" b="1" i="0" u="none" baseline="0">
                    <a:solidFill>
                      <a:srgbClr val="000000"/>
                    </a:solidFill>
                    <a:latin typeface="Arial"/>
                    <a:ea typeface="Arial"/>
                    <a:cs typeface="Arial"/>
                  </a:rPr>
                  <a:t>Entlohnung
 je AKh</a:t>
                </a:r>
              </a:p>
            </c:rich>
          </c:tx>
          <c:layout>
            <c:manualLayout>
              <c:xMode val="factor"/>
              <c:yMode val="factor"/>
              <c:x val="0.03425"/>
              <c:y val="0.1735"/>
            </c:manualLayout>
          </c:layout>
          <c:overlay val="0"/>
          <c:spPr>
            <a:noFill/>
            <a:ln>
              <a:noFill/>
            </a:ln>
          </c:spPr>
        </c:title>
        <c:delete val="0"/>
        <c:numFmt formatCode="#,##0\ \€;[Red]#,##0\ \€" sourceLinked="0"/>
        <c:majorTickMark val="cross"/>
        <c:minorTickMark val="none"/>
        <c:tickLblPos val="nextTo"/>
        <c:spPr>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crossAx val="38194187"/>
        <c:crosses val="max"/>
        <c:crossBetween val="between"/>
        <c:dispUnits/>
      </c:valAx>
      <c:spPr>
        <a:solidFill>
          <a:srgbClr val="FFFFC0"/>
        </a:solidFill>
        <a:ln w="12700">
          <a:solidFill>
            <a:srgbClr val="808080"/>
          </a:solidFill>
        </a:ln>
      </c:spPr>
    </c:plotArea>
    <c:legend>
      <c:legendPos val="r"/>
      <c:layout>
        <c:manualLayout>
          <c:xMode val="edge"/>
          <c:yMode val="edge"/>
          <c:x val="0.20825"/>
          <c:y val="0.1605"/>
          <c:w val="0.53725"/>
          <c:h val="0.095"/>
        </c:manualLayout>
      </c:layout>
      <c:overlay val="0"/>
      <c:spPr>
        <a:solidFill>
          <a:srgbClr val="FFFFC0"/>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0" b="1" i="0" u="none" baseline="0">
                <a:solidFill>
                  <a:srgbClr val="000000"/>
                </a:solidFill>
                <a:latin typeface="Arial"/>
                <a:ea typeface="Arial"/>
                <a:cs typeface="Arial"/>
              </a:rPr>
              <a:t>Kostenstruktur Schweinemast</a:t>
            </a:r>
          </a:p>
        </c:rich>
      </c:tx>
      <c:layout>
        <c:manualLayout>
          <c:xMode val="factor"/>
          <c:yMode val="factor"/>
          <c:x val="0.00575"/>
          <c:y val="-0.0115"/>
        </c:manualLayout>
      </c:layout>
      <c:spPr>
        <a:noFill/>
        <a:ln>
          <a:noFill/>
        </a:ln>
      </c:spPr>
    </c:title>
    <c:plotArea>
      <c:layout>
        <c:manualLayout>
          <c:xMode val="edge"/>
          <c:yMode val="edge"/>
          <c:x val="0.3705"/>
          <c:y val="0.2945"/>
          <c:w val="0.43425"/>
          <c:h val="0.607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80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 1 ZS-Aufzf..-Mast'!$K$81:$K$94</c:f>
              <c:strCache/>
            </c:strRef>
          </c:cat>
          <c:val>
            <c:numRef>
              <c:f>' 1 ZS-Aufzf..-Mast'!$O$81:$O$94</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Kostenstruktur Ferkelerzeugung</a:t>
            </a:r>
          </a:p>
        </c:rich>
      </c:tx>
      <c:layout>
        <c:manualLayout>
          <c:xMode val="factor"/>
          <c:yMode val="factor"/>
          <c:x val="-0.02"/>
          <c:y val="-0.01025"/>
        </c:manualLayout>
      </c:layout>
      <c:spPr>
        <a:noFill/>
        <a:ln>
          <a:noFill/>
        </a:ln>
      </c:spPr>
    </c:title>
    <c:plotArea>
      <c:layout>
        <c:manualLayout>
          <c:xMode val="edge"/>
          <c:yMode val="edge"/>
          <c:x val="0.30875"/>
          <c:y val="0.2225"/>
          <c:w val="0.42475"/>
          <c:h val="0.58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Lbls>
            <c:dLbl>
              <c:idx val="1"/>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7"/>
              <c:txPr>
                <a:bodyPr vert="horz" rot="0" anchor="ctr"/>
                <a:lstStyle/>
                <a:p>
                  <a:pPr algn="ctr">
                    <a:defRPr lang="en-US" cap="none" sz="1200" b="0" i="0" u="none" baseline="0">
                      <a:solidFill>
                        <a:srgbClr val="000000"/>
                      </a:solidFill>
                      <a:latin typeface="Arial"/>
                      <a:ea typeface="Arial"/>
                      <a:cs typeface="Arial"/>
                    </a:defRPr>
                  </a:pPr>
                </a:p>
              </c:txPr>
              <c:numFmt formatCode="0%" sourceLinked="0"/>
              <c:dLblPos val="bestFit"/>
              <c:showLegendKey val="0"/>
              <c:showVal val="0"/>
              <c:showBubbleSize val="0"/>
              <c:showCatName val="1"/>
              <c:showSerName val="0"/>
              <c:showPercent val="1"/>
            </c:dLbl>
            <c:dLbl>
              <c:idx val="8"/>
              <c:txPr>
                <a:bodyPr vert="horz" rot="0" anchor="ctr"/>
                <a:lstStyle/>
                <a:p>
                  <a:pPr algn="ctr">
                    <a:defRPr lang="en-US" cap="none" sz="1200" b="0" i="0" u="none" baseline="0">
                      <a:solidFill>
                        <a:srgbClr val="000000"/>
                      </a:solidFill>
                      <a:latin typeface="Arial"/>
                      <a:ea typeface="Arial"/>
                      <a:cs typeface="Arial"/>
                    </a:defRPr>
                  </a:pPr>
                </a:p>
              </c:txPr>
              <c:numFmt formatCode="0%" sourceLinked="0"/>
              <c:dLblPos val="bestFit"/>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 1 ZS-Aufzf..-Mast'!$K$17:$K$32</c:f>
              <c:strCache/>
            </c:strRef>
          </c:cat>
          <c:val>
            <c:numRef>
              <c:f>' 1 ZS-Aufzf..-Mast'!$O$17:$O$32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Einfluss von Ferkelzahl und Zuschlägen auf den DB je Zuchtsau 
(bei aktuellen Preisen)</a:t>
            </a:r>
          </a:p>
        </c:rich>
      </c:tx>
      <c:layout>
        <c:manualLayout>
          <c:xMode val="factor"/>
          <c:yMode val="factor"/>
          <c:x val="0.03125"/>
          <c:y val="-0.002"/>
        </c:manualLayout>
      </c:layout>
      <c:spPr>
        <a:noFill/>
        <a:ln>
          <a:noFill/>
        </a:ln>
      </c:spPr>
    </c:title>
    <c:plotArea>
      <c:layout>
        <c:manualLayout>
          <c:xMode val="edge"/>
          <c:yMode val="edge"/>
          <c:x val="0.02025"/>
          <c:y val="0.17025"/>
          <c:w val="0.71325"/>
          <c:h val="0.741"/>
        </c:manualLayout>
      </c:layout>
      <c:barChart>
        <c:barDir val="col"/>
        <c:grouping val="clustered"/>
        <c:varyColors val="0"/>
        <c:ser>
          <c:idx val="1"/>
          <c:order val="0"/>
          <c:tx>
            <c:strRef>
              <c:f>' 1 ZS-Aufzf..-Mast'!$C$344:$D$344</c:f>
              <c:strCache>
                <c:ptCount val="1"/>
                <c:pt idx="0">
                  <c:v>5,00 € Mengenzuschlag</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 1 ZS-Aufzf..-Mast'!$F$339:$H$339</c:f>
              <c:numCache/>
            </c:numRef>
          </c:cat>
          <c:val>
            <c:numRef>
              <c:f>' 1 ZS-Aufzf..-Mast'!$F$344:$H$344</c:f>
              <c:numCache/>
            </c:numRef>
          </c:val>
        </c:ser>
        <c:ser>
          <c:idx val="0"/>
          <c:order val="1"/>
          <c:tx>
            <c:strRef>
              <c:f>' 1 ZS-Aufzf..-Mast'!$C$345:$D$345</c:f>
              <c:strCache>
                <c:ptCount val="1"/>
                <c:pt idx="0">
                  <c:v>0,00 € Mengenzuschlag</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 1 ZS-Aufzf..-Mast'!$F$339:$H$339</c:f>
              <c:numCache/>
            </c:numRef>
          </c:cat>
          <c:val>
            <c:numRef>
              <c:f>' 1 ZS-Aufzf..-Mast'!$F$345:$H$345</c:f>
              <c:numCache/>
            </c:numRef>
          </c:val>
        </c:ser>
        <c:ser>
          <c:idx val="4"/>
          <c:order val="2"/>
          <c:tx>
            <c:strRef>
              <c:f>' 1 ZS-Aufzf..-Mast'!$C$346:$D$346</c:f>
              <c:strCache>
                <c:ptCount val="1"/>
                <c:pt idx="0">
                  <c:v>-5,00 € Mengenabschlag</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 1 ZS-Aufzf..-Mast'!$F$339:$H$339</c:f>
              <c:numCache/>
            </c:numRef>
          </c:cat>
          <c:val>
            <c:numRef>
              <c:f>' 1 ZS-Aufzf..-Mast'!$F$346:$H$346</c:f>
              <c:numCache/>
            </c:numRef>
          </c:val>
        </c:ser>
        <c:axId val="6721413"/>
        <c:axId val="60492718"/>
      </c:barChart>
      <c:lineChart>
        <c:grouping val="standard"/>
        <c:varyColors val="0"/>
        <c:ser>
          <c:idx val="3"/>
          <c:order val="3"/>
          <c:tx>
            <c:strRef>
              <c:f>' 1 ZS-Aufzf..-Mast'!$B$350</c:f>
              <c:strCache>
                <c:ptCount val="1"/>
                <c:pt idx="0">
                  <c:v>Kosten Stall und Gemeinkosten einschl. Arbeitskosten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80"/>
              </a:solidFill>
              <a:ln>
                <a:solidFill>
                  <a:srgbClr val="000080"/>
                </a:solidFill>
              </a:ln>
            </c:spPr>
          </c:marker>
          <c:cat>
            <c:numRef>
              <c:f>' 1 ZS-Aufzf..-Mast'!$F$339:$H$339</c:f>
              <c:numCache/>
            </c:numRef>
          </c:cat>
          <c:val>
            <c:numRef>
              <c:f>' 1 ZS-Aufzf..-Mast'!$F$350:$H$350</c:f>
              <c:numCache/>
            </c:numRef>
          </c:val>
          <c:smooth val="0"/>
        </c:ser>
        <c:ser>
          <c:idx val="2"/>
          <c:order val="4"/>
          <c:tx>
            <c:strRef>
              <c:f>' 1 ZS-Aufzf..-Mast'!$B$348</c:f>
              <c:strCache>
                <c:ptCount val="1"/>
                <c:pt idx="0">
                  <c:v>Kosten Stall und Gemeinkosten</c:v>
                </c:pt>
              </c:strCache>
            </c:strRef>
          </c:tx>
          <c:spPr>
            <a:ln w="38100">
              <a:solidFill>
                <a:srgbClr val="3333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3333CC"/>
              </a:solidFill>
              <a:ln>
                <a:solidFill>
                  <a:srgbClr val="3333CC"/>
                </a:solidFill>
              </a:ln>
            </c:spPr>
          </c:marker>
          <c:cat>
            <c:numRef>
              <c:f>' 1 ZS-Aufzf..-Mast'!$F$339:$H$339</c:f>
              <c:numCache/>
            </c:numRef>
          </c:cat>
          <c:val>
            <c:numRef>
              <c:f>' 1 ZS-Aufzf..-Mast'!$F$348:$H$348</c:f>
              <c:numCache/>
            </c:numRef>
          </c:val>
          <c:smooth val="0"/>
        </c:ser>
        <c:axId val="7563551"/>
        <c:axId val="963096"/>
      </c:lineChart>
      <c:catAx>
        <c:axId val="672141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Verkaufte Ferkel je Sau und Jahr</a:t>
                </a:r>
              </a:p>
            </c:rich>
          </c:tx>
          <c:layout>
            <c:manualLayout>
              <c:xMode val="factor"/>
              <c:yMode val="factor"/>
              <c:x val="-0.015"/>
              <c:y val="0.003"/>
            </c:manualLayout>
          </c:layout>
          <c:overlay val="0"/>
          <c:spPr>
            <a:noFill/>
            <a:ln>
              <a:noFill/>
            </a:ln>
          </c:spPr>
        </c:title>
        <c:delete val="0"/>
        <c:numFmt formatCode="0" sourceLinked="0"/>
        <c:majorTickMark val="cross"/>
        <c:minorTickMark val="none"/>
        <c:tickLblPos val="low"/>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60492718"/>
        <c:crosses val="autoZero"/>
        <c:auto val="0"/>
        <c:lblOffset val="100"/>
        <c:tickLblSkip val="1"/>
        <c:noMultiLvlLbl val="0"/>
      </c:catAx>
      <c:valAx>
        <c:axId val="60492718"/>
        <c:scaling>
          <c:orientation val="minMax"/>
        </c:scaling>
        <c:axPos val="l"/>
        <c:title>
          <c:tx>
            <c:rich>
              <a:bodyPr vert="horz" rot="0" anchor="ctr"/>
              <a:lstStyle/>
              <a:p>
                <a:pPr algn="ctr">
                  <a:defRPr/>
                </a:pPr>
                <a:r>
                  <a:rPr lang="en-US" cap="none" sz="1100" b="1" i="0" u="none" baseline="0">
                    <a:solidFill>
                      <a:srgbClr val="000000"/>
                    </a:solidFill>
                    <a:latin typeface="Arial"/>
                    <a:ea typeface="Arial"/>
                    <a:cs typeface="Arial"/>
                  </a:rPr>
                  <a:t>DB/Sau</a:t>
                </a:r>
              </a:p>
            </c:rich>
          </c:tx>
          <c:layout>
            <c:manualLayout>
              <c:xMode val="factor"/>
              <c:yMode val="factor"/>
              <c:x val="0.01975"/>
              <c:y val="0.15475"/>
            </c:manualLayout>
          </c:layout>
          <c:overlay val="0"/>
          <c:spPr>
            <a:noFill/>
            <a:ln w="3175">
              <a:noFill/>
            </a:ln>
          </c:spPr>
        </c:title>
        <c:delete val="0"/>
        <c:numFmt formatCode="#,##0\ \€"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721413"/>
        <c:crossesAt val="1"/>
        <c:crossBetween val="between"/>
        <c:dispUnits/>
      </c:valAx>
      <c:catAx>
        <c:axId val="7563551"/>
        <c:scaling>
          <c:orientation val="minMax"/>
        </c:scaling>
        <c:axPos val="b"/>
        <c:delete val="1"/>
        <c:majorTickMark val="out"/>
        <c:minorTickMark val="none"/>
        <c:tickLblPos val="nextTo"/>
        <c:crossAx val="963096"/>
        <c:crosses val="autoZero"/>
        <c:auto val="0"/>
        <c:lblOffset val="100"/>
        <c:tickLblSkip val="1"/>
        <c:noMultiLvlLbl val="0"/>
      </c:catAx>
      <c:valAx>
        <c:axId val="963096"/>
        <c:scaling>
          <c:orientation val="minMax"/>
        </c:scaling>
        <c:axPos val="l"/>
        <c:delete val="1"/>
        <c:majorTickMark val="out"/>
        <c:minorTickMark val="none"/>
        <c:tickLblPos val="nextTo"/>
        <c:crossAx val="7563551"/>
        <c:crossesAt val="1"/>
        <c:crossBetween val="between"/>
        <c:dispUnits/>
      </c:valAx>
      <c:spPr>
        <a:solidFill>
          <a:srgbClr val="FFFFC0"/>
        </a:solidFill>
        <a:ln w="12700">
          <a:solidFill>
            <a:srgbClr val="808080"/>
          </a:solidFill>
        </a:ln>
      </c:spPr>
    </c:plotArea>
    <c:legend>
      <c:legendPos val="r"/>
      <c:layout>
        <c:manualLayout>
          <c:xMode val="edge"/>
          <c:yMode val="edge"/>
          <c:x val="0.74775"/>
          <c:y val="0.18075"/>
          <c:w val="0.23125"/>
          <c:h val="0.65775"/>
        </c:manualLayout>
      </c:layout>
      <c:overlay val="0"/>
      <c:spPr>
        <a:solidFill>
          <a:srgbClr val="FFFFC0"/>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 Wirtschaftlichkeit in der Mast (je Pl.)</a:t>
            </a:r>
          </a:p>
        </c:rich>
      </c:tx>
      <c:layout>
        <c:manualLayout>
          <c:xMode val="factor"/>
          <c:yMode val="factor"/>
          <c:x val="-0.02375"/>
          <c:y val="0.004"/>
        </c:manualLayout>
      </c:layout>
      <c:spPr>
        <a:noFill/>
        <a:ln>
          <a:noFill/>
        </a:ln>
      </c:spPr>
    </c:title>
    <c:plotArea>
      <c:layout>
        <c:manualLayout>
          <c:xMode val="edge"/>
          <c:yMode val="edge"/>
          <c:x val="0.0145"/>
          <c:y val="0.14825"/>
          <c:w val="0.70375"/>
          <c:h val="0.75525"/>
        </c:manualLayout>
      </c:layout>
      <c:barChart>
        <c:barDir val="col"/>
        <c:grouping val="clustered"/>
        <c:varyColors val="0"/>
        <c:ser>
          <c:idx val="1"/>
          <c:order val="2"/>
          <c:tx>
            <c:strRef>
              <c:f>' 1 ZS-Aufzf..-Mast'!$B$355</c:f>
              <c:strCache>
                <c:ptCount val="1"/>
                <c:pt idx="0">
                  <c:v>DB je Mastplatz</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solidFill>
                  <a:srgbClr val="000000"/>
                </a:solidFill>
              </a:ln>
            </c:spPr>
            <c:txPr>
              <a:bodyPr vert="horz" rot="0" anchor="ctr"/>
              <a:lstStyle/>
              <a:p>
                <a:pPr algn="ctr">
                  <a:defRPr lang="en-US" cap="none" sz="12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 1 ZS-Aufzf..-Mast'!$F$354:$H$354</c:f>
              <c:strCache/>
            </c:strRef>
          </c:cat>
          <c:val>
            <c:numRef>
              <c:f>' 1 ZS-Aufzf..-Mast'!$F$355:$H$355</c:f>
              <c:numCache/>
            </c:numRef>
          </c:val>
        </c:ser>
        <c:gapWidth val="100"/>
        <c:axId val="8667865"/>
        <c:axId val="10901922"/>
      </c:barChart>
      <c:lineChart>
        <c:grouping val="standard"/>
        <c:varyColors val="0"/>
        <c:ser>
          <c:idx val="0"/>
          <c:order val="1"/>
          <c:tx>
            <c:strRef>
              <c:f>' 1 ZS-Aufzf..-Mast'!$B$360</c:f>
              <c:strCache>
                <c:ptCount val="1"/>
                <c:pt idx="0">
                  <c:v>Kosten Stall und Gemeinkosten</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80"/>
              </a:solidFill>
              <a:ln>
                <a:solidFill>
                  <a:srgbClr val="000080"/>
                </a:solidFill>
              </a:ln>
            </c:spPr>
          </c:marker>
          <c:val>
            <c:numRef>
              <c:f>' 1 ZS-Aufzf..-Mast'!$F$360:$H$360</c:f>
              <c:numCache/>
            </c:numRef>
          </c:val>
          <c:smooth val="0"/>
        </c:ser>
        <c:axId val="8667865"/>
        <c:axId val="10901922"/>
      </c:lineChart>
      <c:lineChart>
        <c:grouping val="standard"/>
        <c:varyColors val="0"/>
        <c:ser>
          <c:idx val="2"/>
          <c:order val="0"/>
          <c:tx>
            <c:strRef>
              <c:f>' 1 ZS-Aufzf..-Mast'!$B$362</c:f>
              <c:strCache>
                <c:ptCount val="1"/>
                <c:pt idx="0">
                  <c:v>Kosten Stall und Gemeinkosten einschl. Arbeitskosten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val>
            <c:numRef>
              <c:f>' 1 ZS-Aufzf..-Mast'!$F$362:$H$362</c:f>
              <c:numCache/>
            </c:numRef>
          </c:val>
          <c:smooth val="0"/>
        </c:ser>
        <c:axId val="31008435"/>
        <c:axId val="10640460"/>
      </c:lineChart>
      <c:catAx>
        <c:axId val="8667865"/>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Leistungsniveau</a:t>
                </a:r>
              </a:p>
            </c:rich>
          </c:tx>
          <c:layout>
            <c:manualLayout>
              <c:xMode val="factor"/>
              <c:yMode val="factor"/>
              <c:x val="-0.01675"/>
              <c:y val="0.001"/>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0901922"/>
        <c:crosses val="autoZero"/>
        <c:auto val="0"/>
        <c:lblOffset val="100"/>
        <c:tickLblSkip val="1"/>
        <c:noMultiLvlLbl val="0"/>
      </c:catAx>
      <c:valAx>
        <c:axId val="10901922"/>
        <c:scaling>
          <c:orientation val="minMax"/>
        </c:scaling>
        <c:axPos val="l"/>
        <c:delete val="0"/>
        <c:numFmt formatCode="#,##0\ \€"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8667865"/>
        <c:crossesAt val="1"/>
        <c:crossBetween val="between"/>
        <c:dispUnits/>
      </c:valAx>
      <c:catAx>
        <c:axId val="31008435"/>
        <c:scaling>
          <c:orientation val="minMax"/>
        </c:scaling>
        <c:axPos val="b"/>
        <c:delete val="1"/>
        <c:majorTickMark val="out"/>
        <c:minorTickMark val="none"/>
        <c:tickLblPos val="nextTo"/>
        <c:crossAx val="10640460"/>
        <c:crosses val="autoZero"/>
        <c:auto val="0"/>
        <c:lblOffset val="100"/>
        <c:tickLblSkip val="1"/>
        <c:noMultiLvlLbl val="0"/>
      </c:catAx>
      <c:valAx>
        <c:axId val="10640460"/>
        <c:scaling>
          <c:orientation val="minMax"/>
        </c:scaling>
        <c:axPos val="l"/>
        <c:delete val="1"/>
        <c:majorTickMark val="out"/>
        <c:minorTickMark val="none"/>
        <c:tickLblPos val="nextTo"/>
        <c:crossAx val="31008435"/>
        <c:crossesAt val="1"/>
        <c:crossBetween val="between"/>
        <c:dispUnits/>
      </c:valAx>
      <c:spPr>
        <a:solidFill>
          <a:srgbClr val="FFFFC0"/>
        </a:solidFill>
        <a:ln w="12700">
          <a:solidFill>
            <a:srgbClr val="808080"/>
          </a:solidFill>
        </a:ln>
      </c:spPr>
    </c:plotArea>
    <c:legend>
      <c:legendPos val="r"/>
      <c:layout>
        <c:manualLayout>
          <c:xMode val="edge"/>
          <c:yMode val="edge"/>
          <c:x val="0.756"/>
          <c:y val="0.15975"/>
          <c:w val="0.179"/>
          <c:h val="0.657"/>
        </c:manualLayout>
      </c:layout>
      <c:overlay val="0"/>
      <c:spPr>
        <a:solidFill>
          <a:srgbClr val="FFFFC0"/>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Aktuelle Verwertung von Arbeit und Kapital,  </a:t>
            </a:r>
          </a:p>
        </c:rich>
      </c:tx>
      <c:layout>
        <c:manualLayout>
          <c:xMode val="factor"/>
          <c:yMode val="factor"/>
          <c:x val="-0.14775"/>
          <c:y val="-0.00325"/>
        </c:manualLayout>
      </c:layout>
      <c:spPr>
        <a:noFill/>
        <a:ln>
          <a:noFill/>
        </a:ln>
      </c:spPr>
    </c:title>
    <c:plotArea>
      <c:layout>
        <c:manualLayout>
          <c:xMode val="edge"/>
          <c:yMode val="edge"/>
          <c:x val="0.0135"/>
          <c:y val="0.26175"/>
          <c:w val="0.95825"/>
          <c:h val="0.661"/>
        </c:manualLayout>
      </c:layout>
      <c:barChart>
        <c:barDir val="col"/>
        <c:grouping val="clustered"/>
        <c:varyColors val="0"/>
        <c:ser>
          <c:idx val="1"/>
          <c:order val="0"/>
          <c:tx>
            <c:v>Arbeitseinkommen/Std. Ferkelerzeugung</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 sourceLinked="0"/>
            <c:spPr>
              <a:solidFill>
                <a:srgbClr val="FFFFFF"/>
              </a:solidFill>
              <a:ln w="3175">
                <a:solidFill>
                  <a:srgbClr val="000000"/>
                </a:solidFill>
              </a:ln>
            </c:spPr>
            <c:dLblPos val="inEnd"/>
            <c:showLegendKey val="0"/>
            <c:showVal val="1"/>
            <c:showBubbleSize val="0"/>
            <c:showCatName val="0"/>
            <c:showSerName val="0"/>
            <c:showPercent val="0"/>
          </c:dLbls>
          <c:cat>
            <c:strRef>
              <c:f>' 1 ZS-Aufzf..-Mast'!$F$338:$H$338</c:f>
              <c:strCache/>
            </c:strRef>
          </c:cat>
          <c:val>
            <c:numRef>
              <c:f>' 1 ZS-Aufzf..-Mast'!$F$351:$H$351</c:f>
              <c:numCache/>
            </c:numRef>
          </c:val>
        </c:ser>
        <c:ser>
          <c:idx val="2"/>
          <c:order val="2"/>
          <c:tx>
            <c:v>Arbeitseinkommen/Std. Mast</c:v>
          </c:tx>
          <c:spPr>
            <a:solidFill>
              <a:srgbClr val="69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 sourceLinked="0"/>
            <c:spPr>
              <a:solidFill>
                <a:srgbClr val="FFFFFF"/>
              </a:solidFill>
              <a:ln w="3175">
                <a:solidFill>
                  <a:srgbClr val="000000"/>
                </a:solidFill>
              </a:ln>
            </c:spPr>
            <c:dLblPos val="inEnd"/>
            <c:showLegendKey val="0"/>
            <c:showVal val="1"/>
            <c:showBubbleSize val="0"/>
            <c:showCatName val="0"/>
            <c:showSerName val="0"/>
            <c:showPercent val="0"/>
          </c:dLbls>
          <c:cat>
            <c:strRef>
              <c:f>' 1 ZS-Aufzf..-Mast'!$F$338:$H$338</c:f>
              <c:strCache/>
            </c:strRef>
          </c:cat>
          <c:val>
            <c:numRef>
              <c:f>(' 1 ZS-Aufzf..-Mast'!$F$363,' 1 ZS-Aufzf..-Mast'!$G$363:$H$363)</c:f>
              <c:numCache/>
            </c:numRef>
          </c:val>
        </c:ser>
        <c:axId val="28655277"/>
        <c:axId val="56570902"/>
      </c:barChart>
      <c:lineChart>
        <c:grouping val="standard"/>
        <c:varyColors val="0"/>
        <c:ser>
          <c:idx val="0"/>
          <c:order val="1"/>
          <c:tx>
            <c:v>Kapitalverzinsung Ferkelerzeugung</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FF0000"/>
                </a:solidFill>
              </a:ln>
            </c:spPr>
          </c:marker>
          <c:dLbls>
            <c:numFmt formatCode="General" sourceLinked="1"/>
            <c:txPr>
              <a:bodyPr vert="horz" rot="0" anchor="ctr"/>
              <a:lstStyle/>
              <a:p>
                <a:pPr algn="ctr">
                  <a:defRPr lang="en-US" cap="none" sz="1200" b="1" i="0" u="none" baseline="0">
                    <a:solidFill>
                      <a:srgbClr val="FF0000"/>
                    </a:solidFill>
                    <a:latin typeface="Arial"/>
                    <a:ea typeface="Arial"/>
                    <a:cs typeface="Arial"/>
                  </a:defRPr>
                </a:pPr>
              </a:p>
            </c:txPr>
            <c:dLblPos val="b"/>
            <c:showLegendKey val="0"/>
            <c:showVal val="1"/>
            <c:showBubbleSize val="0"/>
            <c:showCatName val="0"/>
            <c:showSerName val="0"/>
            <c:showLeaderLines val="1"/>
            <c:showPercent val="0"/>
          </c:dLbls>
          <c:val>
            <c:numRef>
              <c:f>' 1 ZS-Aufzf..-Mast'!$F$352:$H$352</c:f>
              <c:numCache/>
            </c:numRef>
          </c:val>
          <c:smooth val="0"/>
        </c:ser>
        <c:ser>
          <c:idx val="3"/>
          <c:order val="3"/>
          <c:tx>
            <c:v>Kapitalverzinsung Mast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000080"/>
                </a:solidFill>
              </a:ln>
            </c:spPr>
          </c:marker>
          <c:dLbls>
            <c:numFmt formatCode="0.0%" sourceLinked="0"/>
            <c:txPr>
              <a:bodyPr vert="horz" rot="0" anchor="ctr"/>
              <a:lstStyle/>
              <a:p>
                <a:pPr algn="ctr">
                  <a:defRPr lang="en-US" cap="none" sz="1200" b="1" i="0" u="none" baseline="0">
                    <a:solidFill>
                      <a:srgbClr val="000080"/>
                    </a:solidFill>
                    <a:latin typeface="Arial"/>
                    <a:ea typeface="Arial"/>
                    <a:cs typeface="Arial"/>
                  </a:defRPr>
                </a:pPr>
              </a:p>
            </c:txPr>
            <c:dLblPos val="b"/>
            <c:showLegendKey val="0"/>
            <c:showVal val="1"/>
            <c:showBubbleSize val="0"/>
            <c:showCatName val="0"/>
            <c:showSerName val="0"/>
            <c:showLeaderLines val="1"/>
            <c:showPercent val="0"/>
          </c:dLbls>
          <c:cat>
            <c:numRef>
              <c:f>' 1 ZS-Aufzf..-Mast'!$F$339:$H$339</c:f>
              <c:numCache/>
            </c:numRef>
          </c:cat>
          <c:val>
            <c:numRef>
              <c:f>(' 1 ZS-Aufzf..-Mast'!$F$364,' 1 ZS-Aufzf..-Mast'!$G$364:$H$364)</c:f>
              <c:numCache/>
            </c:numRef>
          </c:val>
          <c:smooth val="0"/>
        </c:ser>
        <c:axId val="39376071"/>
        <c:axId val="18840320"/>
      </c:lineChart>
      <c:catAx>
        <c:axId val="28655277"/>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Leistungsniveau</a:t>
                </a:r>
              </a:p>
            </c:rich>
          </c:tx>
          <c:layout>
            <c:manualLayout>
              <c:xMode val="factor"/>
              <c:yMode val="factor"/>
              <c:x val="-0.01875"/>
              <c:y val="-0.0057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crossAx val="56570902"/>
        <c:crosses val="autoZero"/>
        <c:auto val="0"/>
        <c:lblOffset val="100"/>
        <c:tickLblSkip val="1"/>
        <c:noMultiLvlLbl val="0"/>
      </c:catAx>
      <c:valAx>
        <c:axId val="56570902"/>
        <c:scaling>
          <c:orientation val="minMax"/>
        </c:scaling>
        <c:axPos val="l"/>
        <c:delete val="0"/>
        <c:numFmt formatCode="#,##0\ \€"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8655277"/>
        <c:crossesAt val="1"/>
        <c:crossBetween val="between"/>
        <c:dispUnits/>
      </c:valAx>
      <c:catAx>
        <c:axId val="39376071"/>
        <c:scaling>
          <c:orientation val="minMax"/>
        </c:scaling>
        <c:axPos val="b"/>
        <c:delete val="1"/>
        <c:majorTickMark val="out"/>
        <c:minorTickMark val="none"/>
        <c:tickLblPos val="nextTo"/>
        <c:crossAx val="18840320"/>
        <c:crosses val="autoZero"/>
        <c:auto val="0"/>
        <c:lblOffset val="100"/>
        <c:tickLblSkip val="1"/>
        <c:noMultiLvlLbl val="0"/>
      </c:catAx>
      <c:valAx>
        <c:axId val="18840320"/>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9376071"/>
        <c:crosses val="max"/>
        <c:crossBetween val="between"/>
        <c:dispUnits/>
      </c:valAx>
      <c:spPr>
        <a:solidFill>
          <a:srgbClr val="FFFFC0"/>
        </a:solidFill>
        <a:ln w="12700">
          <a:solidFill>
            <a:srgbClr val="808080"/>
          </a:solidFill>
        </a:ln>
      </c:spPr>
    </c:plotArea>
    <c:legend>
      <c:legendPos val="r"/>
      <c:layout>
        <c:manualLayout>
          <c:xMode val="edge"/>
          <c:yMode val="edge"/>
          <c:x val="0.14425"/>
          <c:y val="0.14"/>
          <c:w val="0.698"/>
          <c:h val="0.12"/>
        </c:manualLayout>
      </c:layout>
      <c:overlay val="0"/>
      <c:spPr>
        <a:solidFill>
          <a:srgbClr val="FFFFC0"/>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latin typeface="Arial"/>
                <a:ea typeface="Arial"/>
                <a:cs typeface="Arial"/>
              </a:rPr>
              <a:t>Erforderliche Ferkelnotierung 25 kg (o. Mwst) zur Abdeckung aller Kosten bei Neubau</a:t>
            </a:r>
          </a:p>
        </c:rich>
      </c:tx>
      <c:layout>
        <c:manualLayout>
          <c:xMode val="factor"/>
          <c:yMode val="factor"/>
          <c:x val="0.037"/>
          <c:y val="-0.0035"/>
        </c:manualLayout>
      </c:layout>
      <c:spPr>
        <a:noFill/>
        <a:ln>
          <a:noFill/>
        </a:ln>
      </c:spPr>
    </c:title>
    <c:plotArea>
      <c:layout>
        <c:manualLayout>
          <c:xMode val="edge"/>
          <c:yMode val="edge"/>
          <c:x val="0.0225"/>
          <c:y val="0.1295"/>
          <c:w val="0.95225"/>
          <c:h val="0.80075"/>
        </c:manualLayout>
      </c:layout>
      <c:barChart>
        <c:barDir val="col"/>
        <c:grouping val="clustered"/>
        <c:varyColors val="0"/>
        <c:ser>
          <c:idx val="0"/>
          <c:order val="0"/>
          <c:tx>
            <c:strRef>
              <c:f>' 1 ZS-Aufzf..-Mast'!$B$64</c:f>
              <c:strCache>
                <c:ptCount val="1"/>
                <c:pt idx="0">
                  <c:v>Erforderliche Ferkelnotierung 25 kg (o. Mwst)</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 sourceLinked="0"/>
            <c:spPr>
              <a:solidFill>
                <a:srgbClr val="FFFFC0"/>
              </a:solidFill>
              <a:ln w="3175">
                <a:solidFill>
                  <a:srgbClr val="000000"/>
                </a:solidFill>
              </a:ln>
            </c:spPr>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numRef>
              <c:f>' 1 ZS-Aufzf..-Mast'!$F$37:$H$37</c:f>
              <c:numCache/>
            </c:numRef>
          </c:cat>
          <c:val>
            <c:numRef>
              <c:f>' 1 ZS-Aufzf..-Mast'!$F$65:$H$65</c:f>
              <c:numCache/>
            </c:numRef>
          </c:val>
        </c:ser>
        <c:axId val="35345153"/>
        <c:axId val="49670922"/>
      </c:barChart>
      <c:catAx>
        <c:axId val="35345153"/>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Verkaufte Ferkel je Sau</a:t>
                </a:r>
              </a:p>
            </c:rich>
          </c:tx>
          <c:layout>
            <c:manualLayout>
              <c:xMode val="factor"/>
              <c:yMode val="factor"/>
              <c:x val="-0.01625"/>
              <c:y val="-0.00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49670922"/>
        <c:crosses val="autoZero"/>
        <c:auto val="1"/>
        <c:lblOffset val="100"/>
        <c:tickLblSkip val="1"/>
        <c:noMultiLvlLbl val="0"/>
      </c:catAx>
      <c:valAx>
        <c:axId val="49670922"/>
        <c:scaling>
          <c:orientation val="minMax"/>
        </c:scaling>
        <c:axPos val="l"/>
        <c:majorGridlines>
          <c:spPr>
            <a:ln w="3175">
              <a:solidFill>
                <a:srgbClr val="000000"/>
              </a:solidFill>
            </a:ln>
          </c:spPr>
        </c:majorGridlines>
        <c:delete val="0"/>
        <c:numFmt formatCode="#,##0\ \€;[Red]\-#,##0\ \€" sourceLinked="0"/>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35345153"/>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0" b="1" i="0" u="none" baseline="0">
                <a:solidFill>
                  <a:srgbClr val="000000"/>
                </a:solidFill>
              </a:rPr>
              <a:t>DB je Sau bei unterschiedlichen Ferkelzahlen und -preisen</a:t>
            </a:r>
          </a:p>
        </c:rich>
      </c:tx>
      <c:layout>
        <c:manualLayout>
          <c:xMode val="factor"/>
          <c:yMode val="factor"/>
          <c:x val="-0.00175"/>
          <c:y val="-0.016"/>
        </c:manualLayout>
      </c:layout>
      <c:spPr>
        <a:noFill/>
        <a:ln w="3175">
          <a:noFill/>
        </a:ln>
      </c:spPr>
    </c:title>
    <c:plotArea>
      <c:layout>
        <c:manualLayout>
          <c:xMode val="edge"/>
          <c:yMode val="edge"/>
          <c:x val="0.0035"/>
          <c:y val="0.084"/>
          <c:w val="0.8745"/>
          <c:h val="0.87125"/>
        </c:manualLayout>
      </c:layout>
      <c:lineChart>
        <c:grouping val="standard"/>
        <c:varyColors val="0"/>
        <c:ser>
          <c:idx val="5"/>
          <c:order val="0"/>
          <c:tx>
            <c:strRef>
              <c:f>' 1 ZS-Aufzf..-Mast'!$I$252</c:f>
              <c:strCache>
                <c:ptCount val="1"/>
                <c:pt idx="0">
                  <c:v>31</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999933"/>
                </a:solidFill>
              </a:ln>
            </c:spPr>
          </c:marker>
          <c:dLbls>
            <c:dLbl>
              <c:idx val="3"/>
              <c:txPr>
                <a:bodyPr vert="horz" rot="0" anchor="ctr"/>
                <a:lstStyle/>
                <a:p>
                  <a:pPr algn="ctr">
                    <a:defRPr lang="en-US" cap="none" sz="16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6"/>
              <c:txPr>
                <a:bodyPr vert="horz" rot="0" anchor="ctr"/>
                <a:lstStyle/>
                <a:p>
                  <a:pPr algn="ctr">
                    <a:defRPr lang="en-US" cap="none" sz="16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 1 ZS-Aufzf..-Mast'!$C$267:$C$273</c:f>
              <c:numCache/>
            </c:numRef>
          </c:cat>
          <c:val>
            <c:numRef>
              <c:f>' 1 ZS-Aufzf..-Mast'!$I$267:$I$273</c:f>
              <c:numCache/>
            </c:numRef>
          </c:val>
          <c:smooth val="0"/>
        </c:ser>
        <c:ser>
          <c:idx val="4"/>
          <c:order val="1"/>
          <c:tx>
            <c:strRef>
              <c:f>' 1 ZS-Aufzf..-Mast'!$H$252</c:f>
              <c:strCache>
                <c:ptCount val="1"/>
                <c:pt idx="0">
                  <c:v>29</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6666"/>
              </a:solidFill>
              <a:ln>
                <a:solidFill>
                  <a:srgbClr val="33CCCC"/>
                </a:solidFill>
              </a:ln>
            </c:spPr>
          </c:marker>
          <c:cat>
            <c:numRef>
              <c:f>' 1 ZS-Aufzf..-Mast'!$C$267:$C$273</c:f>
              <c:numCache/>
            </c:numRef>
          </c:cat>
          <c:val>
            <c:numRef>
              <c:f>' 1 ZS-Aufzf..-Mast'!$H$267:$H$273</c:f>
              <c:numCache/>
            </c:numRef>
          </c:val>
          <c:smooth val="0"/>
        </c:ser>
        <c:ser>
          <c:idx val="3"/>
          <c:order val="2"/>
          <c:tx>
            <c:strRef>
              <c:f>' 1 ZS-Aufzf..-Mast'!$G$252</c:f>
              <c:strCache>
                <c:ptCount val="1"/>
                <c:pt idx="0">
                  <c:v>27</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 1 ZS-Aufzf..-Mast'!$C$267:$C$273</c:f>
              <c:numCache/>
            </c:numRef>
          </c:cat>
          <c:val>
            <c:numRef>
              <c:f>' 1 ZS-Aufzf..-Mast'!$G$267:$G$273</c:f>
              <c:numCache/>
            </c:numRef>
          </c:val>
          <c:smooth val="0"/>
        </c:ser>
        <c:ser>
          <c:idx val="2"/>
          <c:order val="3"/>
          <c:tx>
            <c:strRef>
              <c:f>' 1 ZS-Aufzf..-Mast'!$F$252</c:f>
              <c:strCache>
                <c:ptCount val="1"/>
                <c:pt idx="0">
                  <c:v>25</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999933"/>
                </a:solidFill>
              </a:ln>
            </c:spPr>
          </c:marker>
          <c:cat>
            <c:numRef>
              <c:f>' 1 ZS-Aufzf..-Mast'!$C$267:$C$273</c:f>
              <c:numCache/>
            </c:numRef>
          </c:cat>
          <c:val>
            <c:numRef>
              <c:f>' 1 ZS-Aufzf..-Mast'!$F$267:$F$273</c:f>
              <c:numCache/>
            </c:numRef>
          </c:val>
          <c:smooth val="0"/>
        </c:ser>
        <c:ser>
          <c:idx val="1"/>
          <c:order val="4"/>
          <c:tx>
            <c:strRef>
              <c:f>' 1 ZS-Aufzf..-Mast'!$E$252</c:f>
              <c:strCache>
                <c:ptCount val="1"/>
                <c:pt idx="0">
                  <c:v>23</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6633"/>
                </a:solidFill>
              </a:ln>
            </c:spPr>
          </c:marker>
          <c:cat>
            <c:numRef>
              <c:f>' 1 ZS-Aufzf..-Mast'!$C$267:$C$273</c:f>
              <c:numCache/>
            </c:numRef>
          </c:cat>
          <c:val>
            <c:numRef>
              <c:f>' 1 ZS-Aufzf..-Mast'!$E$267:$E$273</c:f>
              <c:numCache/>
            </c:numRef>
          </c:val>
          <c:smooth val="0"/>
        </c:ser>
        <c:ser>
          <c:idx val="0"/>
          <c:order val="5"/>
          <c:tx>
            <c:strRef>
              <c:f>' 1 ZS-Aufzf..-Mast'!$D$252</c:f>
              <c:strCache>
                <c:ptCount val="1"/>
                <c:pt idx="0">
                  <c:v>21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3"/>
              <c:txPr>
                <a:bodyPr vert="horz" rot="0" anchor="ctr"/>
                <a:lstStyle/>
                <a:p>
                  <a:pPr algn="ctr">
                    <a:defRPr lang="en-US" cap="none" sz="1600" b="0" i="0" u="none" baseline="0">
                      <a:solidFill>
                        <a:srgbClr val="000000"/>
                      </a:solidFill>
                    </a:defRPr>
                  </a:pPr>
                </a:p>
              </c:txPr>
              <c:numFmt formatCode="General" sourceLinked="1"/>
              <c:spPr>
                <a:noFill/>
                <a:ln w="3175">
                  <a:noFill/>
                </a:ln>
              </c:spPr>
              <c:dLblPos val="b"/>
              <c:showLegendKey val="0"/>
              <c:showVal val="1"/>
              <c:showBubbleSize val="0"/>
              <c:showCatName val="0"/>
              <c:showSerName val="0"/>
              <c:showPercent val="0"/>
            </c:dLbl>
            <c:dLbl>
              <c:idx val="6"/>
              <c:txPr>
                <a:bodyPr vert="horz" rot="0" anchor="ctr"/>
                <a:lstStyle/>
                <a:p>
                  <a:pPr algn="ctr">
                    <a:defRPr lang="en-US" cap="none" sz="1600" b="0" i="0" u="none" baseline="0">
                      <a:solidFill>
                        <a:srgbClr val="000000"/>
                      </a:solidFil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 1 ZS-Aufzf..-Mast'!$C$267:$C$273</c:f>
              <c:numCache/>
            </c:numRef>
          </c:cat>
          <c:val>
            <c:numRef>
              <c:f>' 1 ZS-Aufzf..-Mast'!$D$267:$D$273</c:f>
              <c:numCache/>
            </c:numRef>
          </c:val>
          <c:smooth val="0"/>
        </c:ser>
        <c:marker val="1"/>
        <c:axId val="44385115"/>
        <c:axId val="63921716"/>
      </c:lineChart>
      <c:catAx>
        <c:axId val="44385115"/>
        <c:scaling>
          <c:orientation val="minMax"/>
        </c:scaling>
        <c:axPos val="b"/>
        <c:title>
          <c:tx>
            <c:rich>
              <a:bodyPr vert="horz" rot="0" anchor="ctr"/>
              <a:lstStyle/>
              <a:p>
                <a:pPr algn="ctr">
                  <a:defRPr/>
                </a:pPr>
                <a:r>
                  <a:rPr lang="en-US" cap="none" sz="1600" b="1" i="0" u="none" baseline="0">
                    <a:solidFill>
                      <a:srgbClr val="000000"/>
                    </a:solidFill>
                  </a:rPr>
                  <a:t>Notierung 25 kg-Ferkel</a:t>
                </a:r>
              </a:p>
            </c:rich>
          </c:tx>
          <c:layout>
            <c:manualLayout>
              <c:xMode val="factor"/>
              <c:yMode val="factor"/>
              <c:x val="-0.00875"/>
              <c:y val="-0.008"/>
            </c:manualLayout>
          </c:layout>
          <c:overlay val="0"/>
          <c:spPr>
            <a:noFill/>
            <a:ln w="3175">
              <a:noFill/>
            </a:ln>
          </c:spPr>
        </c:title>
        <c:delete val="0"/>
        <c:numFmt formatCode="General" sourceLinked="1"/>
        <c:majorTickMark val="out"/>
        <c:minorTickMark val="none"/>
        <c:tickLblPos val="low"/>
        <c:spPr>
          <a:ln w="3175">
            <a:solidFill>
              <a:srgbClr val="808080"/>
            </a:solidFill>
          </a:ln>
        </c:spPr>
        <c:crossAx val="63921716"/>
        <c:crosses val="autoZero"/>
        <c:auto val="1"/>
        <c:lblOffset val="100"/>
        <c:tickLblSkip val="1"/>
        <c:noMultiLvlLbl val="0"/>
      </c:catAx>
      <c:valAx>
        <c:axId val="63921716"/>
        <c:scaling>
          <c:orientation val="minMax"/>
        </c:scaling>
        <c:axPos val="l"/>
        <c:title>
          <c:tx>
            <c:rich>
              <a:bodyPr vert="horz" rot="0" anchor="ctr"/>
              <a:lstStyle/>
              <a:p>
                <a:pPr algn="ctr">
                  <a:defRPr/>
                </a:pPr>
                <a:r>
                  <a:rPr lang="en-US" cap="none" sz="1600" b="1" i="0" u="none" baseline="0">
                    <a:solidFill>
                      <a:srgbClr val="000000"/>
                    </a:solidFill>
                  </a:rPr>
                  <a:t>DB/Sau</a:t>
                </a:r>
              </a:p>
            </c:rich>
          </c:tx>
          <c:layout>
            <c:manualLayout>
              <c:xMode val="factor"/>
              <c:yMode val="factor"/>
              <c:x val="0.0155"/>
              <c:y val="0.149"/>
            </c:manualLayout>
          </c:layout>
          <c:overlay val="0"/>
          <c:spPr>
            <a:noFill/>
            <a:ln w="3175">
              <a:noFill/>
            </a:ln>
          </c:spPr>
        </c:title>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crossAx val="44385115"/>
        <c:crossesAt val="1"/>
        <c:crossBetween val="between"/>
        <c:dispUnits/>
      </c:valAx>
      <c:spPr>
        <a:solidFill>
          <a:srgbClr val="FFFFCC"/>
        </a:solidFill>
        <a:ln w="3175">
          <a:noFill/>
        </a:ln>
      </c:spPr>
    </c:plotArea>
    <c:legend>
      <c:legendPos val="r"/>
      <c:layout>
        <c:manualLayout>
          <c:xMode val="edge"/>
          <c:yMode val="edge"/>
          <c:x val="0.9005"/>
          <c:y val="0.23075"/>
          <c:w val="0.08025"/>
          <c:h val="0.40375"/>
        </c:manualLayout>
      </c:layout>
      <c:overlay val="0"/>
      <c:spPr>
        <a:noFill/>
        <a:ln w="3175">
          <a:noFill/>
        </a:ln>
      </c:spPr>
      <c:txPr>
        <a:bodyPr vert="horz" rot="0"/>
        <a:lstStyle/>
        <a:p>
          <a:pPr>
            <a:defRPr lang="en-US" cap="none" sz="1470" b="0" i="0" u="none" baseline="0">
              <a:solidFill>
                <a:srgbClr val="000000"/>
              </a:solidFill>
            </a:defRPr>
          </a:pPr>
        </a:p>
      </c:txPr>
    </c:legend>
    <c:plotVisOnly val="1"/>
    <c:dispBlanksAs val="gap"/>
    <c:showDLblsOverMax val="0"/>
  </c:chart>
  <c:spPr>
    <a:solidFill>
      <a:srgbClr val="FFFF99"/>
    </a:solidFill>
    <a:ln w="3175">
      <a:solidFill>
        <a:srgbClr val="808080"/>
      </a:solidFill>
    </a:ln>
  </c:spPr>
  <c:txPr>
    <a:bodyPr vert="horz" rot="0"/>
    <a:lstStyle/>
    <a:p>
      <a:pPr>
        <a:defRPr lang="en-US" cap="none" sz="16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emf" /><Relationship Id="rId11"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chart" Target="/xl/charts/chart9.xml" /><Relationship Id="rId13"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28575</xdr:rowOff>
    </xdr:from>
    <xdr:to>
      <xdr:col>0</xdr:col>
      <xdr:colOff>0</xdr:colOff>
      <xdr:row>87</xdr:row>
      <xdr:rowOff>57150</xdr:rowOff>
    </xdr:to>
    <xdr:sp>
      <xdr:nvSpPr>
        <xdr:cNvPr id="1" name="Zeichnung 1"/>
        <xdr:cNvSpPr>
          <a:spLocks/>
        </xdr:cNvSpPr>
      </xdr:nvSpPr>
      <xdr:spPr>
        <a:xfrm>
          <a:off x="0" y="30127575"/>
          <a:ext cx="0" cy="38100"/>
        </a:xfrm>
        <a:custGeom>
          <a:pathLst>
            <a:path h="16384" w="16384">
              <a:moveTo>
                <a:pt x="0" y="16384"/>
              </a:moveTo>
              <a:lnTo>
                <a:pt x="10923" y="0"/>
              </a:lnTo>
              <a:lnTo>
                <a:pt x="16384" y="5461"/>
              </a:lnTo>
              <a:lnTo>
                <a:pt x="0" y="16384"/>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xdr:colOff>
      <xdr:row>0</xdr:row>
      <xdr:rowOff>180975</xdr:rowOff>
    </xdr:from>
    <xdr:to>
      <xdr:col>1</xdr:col>
      <xdr:colOff>695325</xdr:colOff>
      <xdr:row>1</xdr:row>
      <xdr:rowOff>457200</xdr:rowOff>
    </xdr:to>
    <xdr:pic>
      <xdr:nvPicPr>
        <xdr:cNvPr id="2" name="Bild 1"/>
        <xdr:cNvPicPr preferRelativeResize="1">
          <a:picLocks noChangeAspect="1"/>
        </xdr:cNvPicPr>
      </xdr:nvPicPr>
      <xdr:blipFill>
        <a:blip r:embed="rId1"/>
        <a:stretch>
          <a:fillRect/>
        </a:stretch>
      </xdr:blipFill>
      <xdr:spPr>
        <a:xfrm>
          <a:off x="114300" y="180975"/>
          <a:ext cx="676275" cy="485775"/>
        </a:xfrm>
        <a:prstGeom prst="rect">
          <a:avLst/>
        </a:prstGeom>
        <a:noFill/>
        <a:ln w="1" cmpd="sng">
          <a:noFill/>
        </a:ln>
      </xdr:spPr>
    </xdr:pic>
    <xdr:clientData/>
  </xdr:twoCellAnchor>
  <xdr:twoCellAnchor editAs="oneCell">
    <xdr:from>
      <xdr:col>1</xdr:col>
      <xdr:colOff>0</xdr:colOff>
      <xdr:row>65</xdr:row>
      <xdr:rowOff>85725</xdr:rowOff>
    </xdr:from>
    <xdr:to>
      <xdr:col>1</xdr:col>
      <xdr:colOff>676275</xdr:colOff>
      <xdr:row>65</xdr:row>
      <xdr:rowOff>581025</xdr:rowOff>
    </xdr:to>
    <xdr:pic>
      <xdr:nvPicPr>
        <xdr:cNvPr id="3" name="Bild 1"/>
        <xdr:cNvPicPr preferRelativeResize="1">
          <a:picLocks noChangeAspect="1"/>
        </xdr:cNvPicPr>
      </xdr:nvPicPr>
      <xdr:blipFill>
        <a:blip r:embed="rId1"/>
        <a:stretch>
          <a:fillRect/>
        </a:stretch>
      </xdr:blipFill>
      <xdr:spPr>
        <a:xfrm>
          <a:off x="95250" y="23402925"/>
          <a:ext cx="676275" cy="495300"/>
        </a:xfrm>
        <a:prstGeom prst="rect">
          <a:avLst/>
        </a:prstGeom>
        <a:noFill/>
        <a:ln w="1" cmpd="sng">
          <a:noFill/>
        </a:ln>
      </xdr:spPr>
    </xdr:pic>
    <xdr:clientData/>
  </xdr:twoCellAnchor>
  <xdr:twoCellAnchor editAs="oneCell">
    <xdr:from>
      <xdr:col>1</xdr:col>
      <xdr:colOff>0</xdr:colOff>
      <xdr:row>65</xdr:row>
      <xdr:rowOff>85725</xdr:rowOff>
    </xdr:from>
    <xdr:to>
      <xdr:col>1</xdr:col>
      <xdr:colOff>676275</xdr:colOff>
      <xdr:row>65</xdr:row>
      <xdr:rowOff>600075</xdr:rowOff>
    </xdr:to>
    <xdr:pic>
      <xdr:nvPicPr>
        <xdr:cNvPr id="4" name="Bild 1"/>
        <xdr:cNvPicPr preferRelativeResize="1">
          <a:picLocks noChangeAspect="1"/>
        </xdr:cNvPicPr>
      </xdr:nvPicPr>
      <xdr:blipFill>
        <a:blip r:embed="rId1"/>
        <a:stretch>
          <a:fillRect/>
        </a:stretch>
      </xdr:blipFill>
      <xdr:spPr>
        <a:xfrm>
          <a:off x="95250" y="23402925"/>
          <a:ext cx="676275" cy="514350"/>
        </a:xfrm>
        <a:prstGeom prst="rect">
          <a:avLst/>
        </a:prstGeom>
        <a:noFill/>
        <a:ln w="1"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0.5265</cdr:x>
      <cdr:y>0.0015</cdr:y>
    </cdr:from>
    <cdr:to>
      <cdr:x>0.758</cdr:x>
      <cdr:y>0.011</cdr:y>
    </cdr:to>
    <cdr:sp>
      <cdr:nvSpPr>
        <cdr:cNvPr id="1" name="Text Box 2"/>
        <cdr:cNvSpPr txBox="1">
          <a:spLocks noChangeArrowheads="1"/>
        </cdr:cNvSpPr>
      </cdr:nvSpPr>
      <cdr:spPr>
        <a:xfrm>
          <a:off x="6629400" y="0"/>
          <a:ext cx="2914650" cy="57150"/>
        </a:xfrm>
        <a:prstGeom prst="rect">
          <a:avLst/>
        </a:prstGeom>
        <a:noFill/>
        <a:ln w="9525" cmpd="sng">
          <a:noFill/>
        </a:ln>
      </cdr:spPr>
      <cdr:txBody>
        <a:bodyPr vertOverflow="clip" wrap="square" lIns="54864" tIns="41148" rIns="0" bIns="0"/>
        <a:p>
          <a:pPr algn="l">
            <a:defRPr/>
          </a:pPr>
          <a:r>
            <a:rPr lang="en-US" cap="none" sz="2450" b="1" i="0" u="none" baseline="0">
              <a:solidFill>
                <a:srgbClr val="000000"/>
              </a:solidFill>
              <a:latin typeface="Arial"/>
              <a:ea typeface="Arial"/>
              <a:cs typeface="Arial"/>
            </a:rPr>
            <a:t>€ je 25 kg Ferkel</a:t>
          </a:r>
        </a:p>
      </cdr:txBody>
    </cdr:sp>
  </cdr:relSizeAnchor>
  <cdr:relSizeAnchor xmlns:cdr="http://schemas.openxmlformats.org/drawingml/2006/chartDrawing">
    <cdr:from>
      <cdr:x>0.5805</cdr:x>
      <cdr:y>0.0815</cdr:y>
    </cdr:from>
    <cdr:to>
      <cdr:x>0.66675</cdr:x>
      <cdr:y>0.139</cdr:y>
    </cdr:to>
    <cdr:sp textlink="'2  ZS-Babyf.-Aufz.'!$D$77">
      <cdr:nvSpPr>
        <cdr:cNvPr id="2" name="Text Box 3"/>
        <cdr:cNvSpPr txBox="1">
          <a:spLocks noChangeArrowheads="1"/>
        </cdr:cNvSpPr>
      </cdr:nvSpPr>
      <cdr:spPr>
        <a:xfrm>
          <a:off x="7315200" y="504825"/>
          <a:ext cx="1085850" cy="361950"/>
        </a:xfrm>
        <a:prstGeom prst="rect">
          <a:avLst/>
        </a:prstGeom>
        <a:noFill/>
        <a:ln w="1" cmpd="sng">
          <a:noFill/>
        </a:ln>
      </cdr:spPr>
      <cdr:txBody>
        <a:bodyPr vertOverflow="clip" wrap="square" lIns="45720" tIns="41148" rIns="45720" bIns="41148" anchor="ctr"/>
        <a:p>
          <a:pPr algn="ctr">
            <a:defRPr/>
          </a:pPr>
          <a:fld id="{16b25af2-e75c-48d3-be7b-1212fb276cf8}" type="TxLink">
            <a:rPr lang="en-US" cap="none" sz="2000" b="1" i="0" u="none" baseline="0">
              <a:solidFill>
                <a:srgbClr val="000000"/>
              </a:solidFill>
              <a:latin typeface="Arial"/>
              <a:ea typeface="Arial"/>
              <a:cs typeface="Arial"/>
            </a:rPr>
            <a:t>54,00</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cdr:x>
      <cdr:y>0.001</cdr:y>
    </cdr:from>
    <cdr:to>
      <cdr:x>0.741</cdr:x>
      <cdr:y>0.01325</cdr:y>
    </cdr:to>
    <cdr:sp>
      <cdr:nvSpPr>
        <cdr:cNvPr id="1" name="Text Box 2"/>
        <cdr:cNvSpPr txBox="1">
          <a:spLocks noChangeArrowheads="1"/>
        </cdr:cNvSpPr>
      </cdr:nvSpPr>
      <cdr:spPr>
        <a:xfrm>
          <a:off x="6657975" y="0"/>
          <a:ext cx="2686050" cy="76200"/>
        </a:xfrm>
        <a:prstGeom prst="rect">
          <a:avLst/>
        </a:prstGeom>
        <a:noFill/>
        <a:ln w="9525" cmpd="sng">
          <a:noFill/>
        </a:ln>
      </cdr:spPr>
      <cdr:txBody>
        <a:bodyPr vertOverflow="clip" wrap="square" lIns="54864" tIns="41148" rIns="0" bIns="0"/>
        <a:p>
          <a:pPr algn="l">
            <a:defRPr/>
          </a:pPr>
          <a:r>
            <a:rPr lang="en-US" cap="none" sz="2300" b="1" i="0" u="none" baseline="0">
              <a:solidFill>
                <a:srgbClr val="000000"/>
              </a:solidFill>
              <a:latin typeface="Arial"/>
              <a:ea typeface="Arial"/>
              <a:cs typeface="Arial"/>
            </a:rPr>
            <a:t>€ je 25 kg Ferkel</a:t>
          </a:r>
        </a:p>
      </cdr:txBody>
    </cdr:sp>
  </cdr:relSizeAnchor>
  <cdr:relSizeAnchor xmlns:cdr="http://schemas.openxmlformats.org/drawingml/2006/chartDrawing">
    <cdr:from>
      <cdr:x>0.5815</cdr:x>
      <cdr:y>0.0715</cdr:y>
    </cdr:from>
    <cdr:to>
      <cdr:x>0.64775</cdr:x>
      <cdr:y>0.13</cdr:y>
    </cdr:to>
    <cdr:sp textlink="'2  ZS-Babyf.-Aufz.'!$D$77">
      <cdr:nvSpPr>
        <cdr:cNvPr id="2" name="Text Box 3"/>
        <cdr:cNvSpPr txBox="1">
          <a:spLocks noChangeArrowheads="1"/>
        </cdr:cNvSpPr>
      </cdr:nvSpPr>
      <cdr:spPr>
        <a:xfrm>
          <a:off x="7324725" y="419100"/>
          <a:ext cx="838200" cy="342900"/>
        </a:xfrm>
        <a:prstGeom prst="rect">
          <a:avLst/>
        </a:prstGeom>
        <a:noFill/>
        <a:ln w="1" cmpd="sng">
          <a:noFill/>
        </a:ln>
      </cdr:spPr>
      <cdr:txBody>
        <a:bodyPr vertOverflow="clip" wrap="square" lIns="45720" tIns="41148" rIns="45720" bIns="41148" anchor="ctr"/>
        <a:p>
          <a:pPr algn="ctr">
            <a:defRPr/>
          </a:pPr>
          <a:fld id="{40234347-318c-4274-82b8-69d32e33fe8a}" type="TxLink">
            <a:rPr lang="en-US" cap="none" sz="2000" b="1" i="0" u="none" baseline="0">
              <a:solidFill>
                <a:srgbClr val="000000"/>
              </a:solidFill>
              <a:latin typeface="Arial"/>
              <a:ea typeface="Arial"/>
              <a:cs typeface="Arial"/>
            </a:rPr>
            <a:t>54,00</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0.66075</cdr:x>
      <cdr:y>0.021</cdr:y>
    </cdr:from>
    <cdr:to>
      <cdr:x>0.803</cdr:x>
      <cdr:y>0.0805</cdr:y>
    </cdr:to>
    <cdr:sp textlink="'2  ZS-Babyf.-Aufz.'!$F$4">
      <cdr:nvSpPr>
        <cdr:cNvPr id="1" name="Text Box 1"/>
        <cdr:cNvSpPr txBox="1">
          <a:spLocks noChangeArrowheads="1"/>
        </cdr:cNvSpPr>
      </cdr:nvSpPr>
      <cdr:spPr>
        <a:xfrm>
          <a:off x="8324850" y="133350"/>
          <a:ext cx="1790700" cy="381000"/>
        </a:xfrm>
        <a:prstGeom prst="rect">
          <a:avLst/>
        </a:prstGeom>
        <a:noFill/>
        <a:ln w="1" cmpd="sng">
          <a:noFill/>
        </a:ln>
      </cdr:spPr>
      <cdr:txBody>
        <a:bodyPr vertOverflow="clip" wrap="square" lIns="36576" tIns="27432" rIns="36576" bIns="27432" anchor="ctr"/>
        <a:p>
          <a:pPr algn="ctr">
            <a:defRPr/>
          </a:pPr>
          <a:fld id="{33a8a3db-3586-481d-875f-594b848c8a58}" type="TxLink">
            <a:rPr lang="en-US" cap="none" sz="1600" b="1" i="0" u="none" baseline="0">
              <a:solidFill>
                <a:srgbClr val="FF0000"/>
              </a:solidFill>
              <a:latin typeface="Arial"/>
              <a:ea typeface="Arial"/>
              <a:cs typeface="Arial"/>
            </a:rPr>
            <a:t>Anfang Oktober 2016</a:t>
          </a:fld>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xdr:row>
      <xdr:rowOff>28575</xdr:rowOff>
    </xdr:from>
    <xdr:to>
      <xdr:col>0</xdr:col>
      <xdr:colOff>0</xdr:colOff>
      <xdr:row>94</xdr:row>
      <xdr:rowOff>57150</xdr:rowOff>
    </xdr:to>
    <xdr:sp>
      <xdr:nvSpPr>
        <xdr:cNvPr id="1" name="Zeichnung 1"/>
        <xdr:cNvSpPr>
          <a:spLocks/>
        </xdr:cNvSpPr>
      </xdr:nvSpPr>
      <xdr:spPr>
        <a:xfrm>
          <a:off x="0" y="29651325"/>
          <a:ext cx="0" cy="38100"/>
        </a:xfrm>
        <a:custGeom>
          <a:pathLst>
            <a:path h="16384" w="16384">
              <a:moveTo>
                <a:pt x="0" y="16384"/>
              </a:moveTo>
              <a:lnTo>
                <a:pt x="10923" y="0"/>
              </a:lnTo>
              <a:lnTo>
                <a:pt x="16384" y="5461"/>
              </a:lnTo>
              <a:lnTo>
                <a:pt x="0" y="16384"/>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xdr:colOff>
      <xdr:row>1</xdr:row>
      <xdr:rowOff>85725</xdr:rowOff>
    </xdr:from>
    <xdr:to>
      <xdr:col>1</xdr:col>
      <xdr:colOff>714375</xdr:colOff>
      <xdr:row>1</xdr:row>
      <xdr:rowOff>581025</xdr:rowOff>
    </xdr:to>
    <xdr:pic>
      <xdr:nvPicPr>
        <xdr:cNvPr id="2" name="Bild 1"/>
        <xdr:cNvPicPr preferRelativeResize="1">
          <a:picLocks noChangeAspect="1"/>
        </xdr:cNvPicPr>
      </xdr:nvPicPr>
      <xdr:blipFill>
        <a:blip r:embed="rId1"/>
        <a:stretch>
          <a:fillRect/>
        </a:stretch>
      </xdr:blipFill>
      <xdr:spPr>
        <a:xfrm>
          <a:off x="133350" y="114300"/>
          <a:ext cx="676275" cy="495300"/>
        </a:xfrm>
        <a:prstGeom prst="rect">
          <a:avLst/>
        </a:prstGeom>
        <a:noFill/>
        <a:ln w="1" cmpd="sng">
          <a:noFill/>
        </a:ln>
      </xdr:spPr>
    </xdr:pic>
    <xdr:clientData/>
  </xdr:twoCellAnchor>
  <xdr:twoCellAnchor editAs="oneCell">
    <xdr:from>
      <xdr:col>1</xdr:col>
      <xdr:colOff>38100</xdr:colOff>
      <xdr:row>64</xdr:row>
      <xdr:rowOff>85725</xdr:rowOff>
    </xdr:from>
    <xdr:to>
      <xdr:col>1</xdr:col>
      <xdr:colOff>714375</xdr:colOff>
      <xdr:row>64</xdr:row>
      <xdr:rowOff>581025</xdr:rowOff>
    </xdr:to>
    <xdr:pic>
      <xdr:nvPicPr>
        <xdr:cNvPr id="3" name="Bild 1"/>
        <xdr:cNvPicPr preferRelativeResize="1">
          <a:picLocks noChangeAspect="1"/>
        </xdr:cNvPicPr>
      </xdr:nvPicPr>
      <xdr:blipFill>
        <a:blip r:embed="rId1"/>
        <a:stretch>
          <a:fillRect/>
        </a:stretch>
      </xdr:blipFill>
      <xdr:spPr>
        <a:xfrm>
          <a:off x="133350" y="20193000"/>
          <a:ext cx="676275" cy="495300"/>
        </a:xfrm>
        <a:prstGeom prst="rect">
          <a:avLst/>
        </a:prstGeom>
        <a:noFill/>
        <a:ln w="1" cmpd="sng">
          <a:noFill/>
        </a:ln>
      </xdr:spPr>
    </xdr:pic>
    <xdr:clientData/>
  </xdr:twoCellAnchor>
  <xdr:twoCellAnchor editAs="oneCell">
    <xdr:from>
      <xdr:col>1</xdr:col>
      <xdr:colOff>38100</xdr:colOff>
      <xdr:row>1</xdr:row>
      <xdr:rowOff>85725</xdr:rowOff>
    </xdr:from>
    <xdr:to>
      <xdr:col>1</xdr:col>
      <xdr:colOff>714375</xdr:colOff>
      <xdr:row>1</xdr:row>
      <xdr:rowOff>581025</xdr:rowOff>
    </xdr:to>
    <xdr:pic>
      <xdr:nvPicPr>
        <xdr:cNvPr id="4" name="Bild 1"/>
        <xdr:cNvPicPr preferRelativeResize="1">
          <a:picLocks noChangeAspect="1"/>
        </xdr:cNvPicPr>
      </xdr:nvPicPr>
      <xdr:blipFill>
        <a:blip r:embed="rId1"/>
        <a:stretch>
          <a:fillRect/>
        </a:stretch>
      </xdr:blipFill>
      <xdr:spPr>
        <a:xfrm>
          <a:off x="133350" y="114300"/>
          <a:ext cx="676275" cy="495300"/>
        </a:xfrm>
        <a:prstGeom prst="rect">
          <a:avLst/>
        </a:prstGeom>
        <a:noFill/>
        <a:ln w="1" cmpd="sng">
          <a:noFill/>
        </a:ln>
      </xdr:spPr>
    </xdr:pic>
    <xdr:clientData/>
  </xdr:twoCellAnchor>
  <xdr:twoCellAnchor>
    <xdr:from>
      <xdr:col>1</xdr:col>
      <xdr:colOff>0</xdr:colOff>
      <xdr:row>124</xdr:row>
      <xdr:rowOff>0</xdr:rowOff>
    </xdr:from>
    <xdr:to>
      <xdr:col>8</xdr:col>
      <xdr:colOff>981075</xdr:colOff>
      <xdr:row>160</xdr:row>
      <xdr:rowOff>85725</xdr:rowOff>
    </xdr:to>
    <xdr:graphicFrame>
      <xdr:nvGraphicFramePr>
        <xdr:cNvPr id="5" name="Diagramm 32"/>
        <xdr:cNvGraphicFramePr/>
      </xdr:nvGraphicFramePr>
      <xdr:xfrm>
        <a:off x="95250" y="39423975"/>
        <a:ext cx="12601575" cy="6286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162</xdr:row>
      <xdr:rowOff>0</xdr:rowOff>
    </xdr:from>
    <xdr:to>
      <xdr:col>9</xdr:col>
      <xdr:colOff>0</xdr:colOff>
      <xdr:row>198</xdr:row>
      <xdr:rowOff>85725</xdr:rowOff>
    </xdr:to>
    <xdr:graphicFrame>
      <xdr:nvGraphicFramePr>
        <xdr:cNvPr id="6" name="Diagramm 33"/>
        <xdr:cNvGraphicFramePr/>
      </xdr:nvGraphicFramePr>
      <xdr:xfrm>
        <a:off x="95250" y="45948600"/>
        <a:ext cx="12611100" cy="59245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199</xdr:row>
      <xdr:rowOff>0</xdr:rowOff>
    </xdr:from>
    <xdr:to>
      <xdr:col>9</xdr:col>
      <xdr:colOff>0</xdr:colOff>
      <xdr:row>236</xdr:row>
      <xdr:rowOff>0</xdr:rowOff>
    </xdr:to>
    <xdr:graphicFrame>
      <xdr:nvGraphicFramePr>
        <xdr:cNvPr id="7" name="Diagramm 34"/>
        <xdr:cNvGraphicFramePr/>
      </xdr:nvGraphicFramePr>
      <xdr:xfrm>
        <a:off x="104775" y="51949350"/>
        <a:ext cx="12601575" cy="6438900"/>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0</xdr:colOff>
      <xdr:row>239</xdr:row>
      <xdr:rowOff>0</xdr:rowOff>
    </xdr:from>
    <xdr:to>
      <xdr:col>6</xdr:col>
      <xdr:colOff>1009650</xdr:colOff>
      <xdr:row>291</xdr:row>
      <xdr:rowOff>19050</xdr:rowOff>
    </xdr:to>
    <xdr:pic>
      <xdr:nvPicPr>
        <xdr:cNvPr id="8" name="Grafik 13"/>
        <xdr:cNvPicPr preferRelativeResize="1">
          <a:picLocks noChangeAspect="1"/>
        </xdr:cNvPicPr>
      </xdr:nvPicPr>
      <xdr:blipFill>
        <a:blip r:embed="rId5"/>
        <a:stretch>
          <a:fillRect/>
        </a:stretch>
      </xdr:blipFill>
      <xdr:spPr>
        <a:xfrm>
          <a:off x="95250" y="58874025"/>
          <a:ext cx="9782175" cy="843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xdr:col>
      <xdr:colOff>2905125</xdr:colOff>
      <xdr:row>16</xdr:row>
      <xdr:rowOff>123825</xdr:rowOff>
    </xdr:to>
    <xdr:pic>
      <xdr:nvPicPr>
        <xdr:cNvPr id="1" name="Grafik 1"/>
        <xdr:cNvPicPr preferRelativeResize="1">
          <a:picLocks noChangeAspect="1"/>
        </xdr:cNvPicPr>
      </xdr:nvPicPr>
      <xdr:blipFill>
        <a:blip r:embed="rId1"/>
        <a:stretch>
          <a:fillRect/>
        </a:stretch>
      </xdr:blipFill>
      <xdr:spPr>
        <a:xfrm>
          <a:off x="57150" y="1162050"/>
          <a:ext cx="2905125" cy="2228850"/>
        </a:xfrm>
        <a:prstGeom prst="rect">
          <a:avLst/>
        </a:prstGeom>
        <a:noFill/>
        <a:ln w="9525" cmpd="sng">
          <a:noFill/>
        </a:ln>
      </xdr:spPr>
    </xdr:pic>
    <xdr:clientData/>
  </xdr:twoCellAnchor>
  <xdr:twoCellAnchor editAs="oneCell">
    <xdr:from>
      <xdr:col>1</xdr:col>
      <xdr:colOff>2886075</xdr:colOff>
      <xdr:row>23</xdr:row>
      <xdr:rowOff>76200</xdr:rowOff>
    </xdr:from>
    <xdr:to>
      <xdr:col>2</xdr:col>
      <xdr:colOff>2828925</xdr:colOff>
      <xdr:row>37</xdr:row>
      <xdr:rowOff>0</xdr:rowOff>
    </xdr:to>
    <xdr:pic>
      <xdr:nvPicPr>
        <xdr:cNvPr id="2" name="Grafik 3"/>
        <xdr:cNvPicPr preferRelativeResize="1">
          <a:picLocks noChangeAspect="1"/>
        </xdr:cNvPicPr>
      </xdr:nvPicPr>
      <xdr:blipFill>
        <a:blip r:embed="rId2"/>
        <a:stretch>
          <a:fillRect/>
        </a:stretch>
      </xdr:blipFill>
      <xdr:spPr>
        <a:xfrm>
          <a:off x="2943225" y="9248775"/>
          <a:ext cx="2857500" cy="2190750"/>
        </a:xfrm>
        <a:prstGeom prst="rect">
          <a:avLst/>
        </a:prstGeom>
        <a:noFill/>
        <a:ln w="9525" cmpd="sng">
          <a:noFill/>
        </a:ln>
      </xdr:spPr>
    </xdr:pic>
    <xdr:clientData/>
  </xdr:twoCellAnchor>
  <xdr:twoCellAnchor editAs="oneCell">
    <xdr:from>
      <xdr:col>1</xdr:col>
      <xdr:colOff>19050</xdr:colOff>
      <xdr:row>37</xdr:row>
      <xdr:rowOff>123825</xdr:rowOff>
    </xdr:from>
    <xdr:to>
      <xdr:col>1</xdr:col>
      <xdr:colOff>2876550</xdr:colOff>
      <xdr:row>51</xdr:row>
      <xdr:rowOff>47625</xdr:rowOff>
    </xdr:to>
    <xdr:pic>
      <xdr:nvPicPr>
        <xdr:cNvPr id="3" name="Grafik 4"/>
        <xdr:cNvPicPr preferRelativeResize="1">
          <a:picLocks noChangeAspect="1"/>
        </xdr:cNvPicPr>
      </xdr:nvPicPr>
      <xdr:blipFill>
        <a:blip r:embed="rId3"/>
        <a:stretch>
          <a:fillRect/>
        </a:stretch>
      </xdr:blipFill>
      <xdr:spPr>
        <a:xfrm>
          <a:off x="76200" y="11563350"/>
          <a:ext cx="2857500" cy="2190750"/>
        </a:xfrm>
        <a:prstGeom prst="rect">
          <a:avLst/>
        </a:prstGeom>
        <a:noFill/>
        <a:ln w="9525" cmpd="sng">
          <a:noFill/>
        </a:ln>
      </xdr:spPr>
    </xdr:pic>
    <xdr:clientData/>
  </xdr:twoCellAnchor>
  <xdr:twoCellAnchor editAs="oneCell">
    <xdr:from>
      <xdr:col>2</xdr:col>
      <xdr:colOff>28575</xdr:colOff>
      <xdr:row>3</xdr:row>
      <xdr:rowOff>9525</xdr:rowOff>
    </xdr:from>
    <xdr:to>
      <xdr:col>2</xdr:col>
      <xdr:colOff>2886075</xdr:colOff>
      <xdr:row>16</xdr:row>
      <xdr:rowOff>95250</xdr:rowOff>
    </xdr:to>
    <xdr:pic>
      <xdr:nvPicPr>
        <xdr:cNvPr id="4" name="Grafik 6"/>
        <xdr:cNvPicPr preferRelativeResize="1">
          <a:picLocks noChangeAspect="1"/>
        </xdr:cNvPicPr>
      </xdr:nvPicPr>
      <xdr:blipFill>
        <a:blip r:embed="rId4"/>
        <a:stretch>
          <a:fillRect/>
        </a:stretch>
      </xdr:blipFill>
      <xdr:spPr>
        <a:xfrm>
          <a:off x="3000375" y="1171575"/>
          <a:ext cx="2857500" cy="2190750"/>
        </a:xfrm>
        <a:prstGeom prst="rect">
          <a:avLst/>
        </a:prstGeom>
        <a:noFill/>
        <a:ln w="9525" cmpd="sng">
          <a:noFill/>
        </a:ln>
      </xdr:spPr>
    </xdr:pic>
    <xdr:clientData/>
  </xdr:twoCellAnchor>
  <xdr:twoCellAnchor editAs="oneCell">
    <xdr:from>
      <xdr:col>1</xdr:col>
      <xdr:colOff>0</xdr:colOff>
      <xdr:row>17</xdr:row>
      <xdr:rowOff>0</xdr:rowOff>
    </xdr:from>
    <xdr:to>
      <xdr:col>1</xdr:col>
      <xdr:colOff>2895600</xdr:colOff>
      <xdr:row>18</xdr:row>
      <xdr:rowOff>2085975</xdr:rowOff>
    </xdr:to>
    <xdr:pic>
      <xdr:nvPicPr>
        <xdr:cNvPr id="5" name="Grafik 7"/>
        <xdr:cNvPicPr preferRelativeResize="1">
          <a:picLocks noChangeAspect="1"/>
        </xdr:cNvPicPr>
      </xdr:nvPicPr>
      <xdr:blipFill>
        <a:blip r:embed="rId5"/>
        <a:stretch>
          <a:fillRect/>
        </a:stretch>
      </xdr:blipFill>
      <xdr:spPr>
        <a:xfrm>
          <a:off x="57150" y="3429000"/>
          <a:ext cx="2895600" cy="2247900"/>
        </a:xfrm>
        <a:prstGeom prst="rect">
          <a:avLst/>
        </a:prstGeom>
        <a:noFill/>
        <a:ln w="9525" cmpd="sng">
          <a:noFill/>
        </a:ln>
      </xdr:spPr>
    </xdr:pic>
    <xdr:clientData/>
  </xdr:twoCellAnchor>
  <xdr:twoCellAnchor editAs="oneCell">
    <xdr:from>
      <xdr:col>2</xdr:col>
      <xdr:colOff>0</xdr:colOff>
      <xdr:row>17</xdr:row>
      <xdr:rowOff>0</xdr:rowOff>
    </xdr:from>
    <xdr:to>
      <xdr:col>2</xdr:col>
      <xdr:colOff>2876550</xdr:colOff>
      <xdr:row>18</xdr:row>
      <xdr:rowOff>2076450</xdr:rowOff>
    </xdr:to>
    <xdr:pic>
      <xdr:nvPicPr>
        <xdr:cNvPr id="6" name="Grafik 8"/>
        <xdr:cNvPicPr preferRelativeResize="1">
          <a:picLocks noChangeAspect="1"/>
        </xdr:cNvPicPr>
      </xdr:nvPicPr>
      <xdr:blipFill>
        <a:blip r:embed="rId6"/>
        <a:stretch>
          <a:fillRect/>
        </a:stretch>
      </xdr:blipFill>
      <xdr:spPr>
        <a:xfrm>
          <a:off x="2971800" y="3429000"/>
          <a:ext cx="2876550" cy="2238375"/>
        </a:xfrm>
        <a:prstGeom prst="rect">
          <a:avLst/>
        </a:prstGeom>
        <a:noFill/>
        <a:ln w="9525" cmpd="sng">
          <a:noFill/>
        </a:ln>
      </xdr:spPr>
    </xdr:pic>
    <xdr:clientData/>
  </xdr:twoCellAnchor>
  <xdr:twoCellAnchor editAs="oneCell">
    <xdr:from>
      <xdr:col>1</xdr:col>
      <xdr:colOff>0</xdr:colOff>
      <xdr:row>20</xdr:row>
      <xdr:rowOff>0</xdr:rowOff>
    </xdr:from>
    <xdr:to>
      <xdr:col>1</xdr:col>
      <xdr:colOff>2905125</xdr:colOff>
      <xdr:row>22</xdr:row>
      <xdr:rowOff>723900</xdr:rowOff>
    </xdr:to>
    <xdr:pic>
      <xdr:nvPicPr>
        <xdr:cNvPr id="7" name="Grafik 10"/>
        <xdr:cNvPicPr preferRelativeResize="1">
          <a:picLocks noChangeAspect="1"/>
        </xdr:cNvPicPr>
      </xdr:nvPicPr>
      <xdr:blipFill>
        <a:blip r:embed="rId7"/>
        <a:stretch>
          <a:fillRect/>
        </a:stretch>
      </xdr:blipFill>
      <xdr:spPr>
        <a:xfrm>
          <a:off x="57150" y="6896100"/>
          <a:ext cx="2905125" cy="2257425"/>
        </a:xfrm>
        <a:prstGeom prst="rect">
          <a:avLst/>
        </a:prstGeom>
        <a:noFill/>
        <a:ln w="9525" cmpd="sng">
          <a:noFill/>
        </a:ln>
      </xdr:spPr>
    </xdr:pic>
    <xdr:clientData/>
  </xdr:twoCellAnchor>
  <xdr:twoCellAnchor editAs="oneCell">
    <xdr:from>
      <xdr:col>2</xdr:col>
      <xdr:colOff>0</xdr:colOff>
      <xdr:row>20</xdr:row>
      <xdr:rowOff>0</xdr:rowOff>
    </xdr:from>
    <xdr:to>
      <xdr:col>2</xdr:col>
      <xdr:colOff>2876550</xdr:colOff>
      <xdr:row>22</xdr:row>
      <xdr:rowOff>704850</xdr:rowOff>
    </xdr:to>
    <xdr:pic>
      <xdr:nvPicPr>
        <xdr:cNvPr id="8" name="Grafik 11"/>
        <xdr:cNvPicPr preferRelativeResize="1">
          <a:picLocks noChangeAspect="1"/>
        </xdr:cNvPicPr>
      </xdr:nvPicPr>
      <xdr:blipFill>
        <a:blip r:embed="rId8"/>
        <a:stretch>
          <a:fillRect/>
        </a:stretch>
      </xdr:blipFill>
      <xdr:spPr>
        <a:xfrm>
          <a:off x="2971800" y="6896100"/>
          <a:ext cx="2876550" cy="2238375"/>
        </a:xfrm>
        <a:prstGeom prst="rect">
          <a:avLst/>
        </a:prstGeom>
        <a:noFill/>
        <a:ln w="9525" cmpd="sng">
          <a:noFill/>
        </a:ln>
      </xdr:spPr>
    </xdr:pic>
    <xdr:clientData/>
  </xdr:twoCellAnchor>
  <xdr:twoCellAnchor editAs="oneCell">
    <xdr:from>
      <xdr:col>1</xdr:col>
      <xdr:colOff>0</xdr:colOff>
      <xdr:row>23</xdr:row>
      <xdr:rowOff>76200</xdr:rowOff>
    </xdr:from>
    <xdr:to>
      <xdr:col>1</xdr:col>
      <xdr:colOff>2857500</xdr:colOff>
      <xdr:row>37</xdr:row>
      <xdr:rowOff>0</xdr:rowOff>
    </xdr:to>
    <xdr:pic>
      <xdr:nvPicPr>
        <xdr:cNvPr id="9" name="Grafik 1"/>
        <xdr:cNvPicPr preferRelativeResize="1">
          <a:picLocks noChangeAspect="1"/>
        </xdr:cNvPicPr>
      </xdr:nvPicPr>
      <xdr:blipFill>
        <a:blip r:embed="rId9"/>
        <a:stretch>
          <a:fillRect/>
        </a:stretch>
      </xdr:blipFill>
      <xdr:spPr>
        <a:xfrm>
          <a:off x="57150" y="9248775"/>
          <a:ext cx="2857500" cy="2190750"/>
        </a:xfrm>
        <a:prstGeom prst="rect">
          <a:avLst/>
        </a:prstGeom>
        <a:noFill/>
        <a:ln w="9525" cmpd="sng">
          <a:noFill/>
        </a:ln>
      </xdr:spPr>
    </xdr:pic>
    <xdr:clientData/>
  </xdr:twoCellAnchor>
  <xdr:twoCellAnchor editAs="oneCell">
    <xdr:from>
      <xdr:col>0</xdr:col>
      <xdr:colOff>57150</xdr:colOff>
      <xdr:row>54</xdr:row>
      <xdr:rowOff>85725</xdr:rowOff>
    </xdr:from>
    <xdr:to>
      <xdr:col>2</xdr:col>
      <xdr:colOff>2857500</xdr:colOff>
      <xdr:row>76</xdr:row>
      <xdr:rowOff>114300</xdr:rowOff>
    </xdr:to>
    <xdr:pic>
      <xdr:nvPicPr>
        <xdr:cNvPr id="10" name="Grafik 10"/>
        <xdr:cNvPicPr preferRelativeResize="1">
          <a:picLocks noChangeAspect="1"/>
        </xdr:cNvPicPr>
      </xdr:nvPicPr>
      <xdr:blipFill>
        <a:blip r:embed="rId10"/>
        <a:stretch>
          <a:fillRect/>
        </a:stretch>
      </xdr:blipFill>
      <xdr:spPr>
        <a:xfrm>
          <a:off x="57150" y="14649450"/>
          <a:ext cx="5772150" cy="3590925"/>
        </a:xfrm>
        <a:prstGeom prst="rect">
          <a:avLst/>
        </a:prstGeom>
        <a:noFill/>
        <a:ln w="9525" cmpd="sng">
          <a:noFill/>
        </a:ln>
      </xdr:spPr>
    </xdr:pic>
    <xdr:clientData/>
  </xdr:twoCellAnchor>
  <xdr:twoCellAnchor editAs="oneCell">
    <xdr:from>
      <xdr:col>0</xdr:col>
      <xdr:colOff>0</xdr:colOff>
      <xdr:row>77</xdr:row>
      <xdr:rowOff>123825</xdr:rowOff>
    </xdr:from>
    <xdr:to>
      <xdr:col>2</xdr:col>
      <xdr:colOff>2828925</xdr:colOff>
      <xdr:row>101</xdr:row>
      <xdr:rowOff>66675</xdr:rowOff>
    </xdr:to>
    <xdr:pic>
      <xdr:nvPicPr>
        <xdr:cNvPr id="11" name="Grafik 11"/>
        <xdr:cNvPicPr preferRelativeResize="1">
          <a:picLocks noChangeAspect="1"/>
        </xdr:cNvPicPr>
      </xdr:nvPicPr>
      <xdr:blipFill>
        <a:blip r:embed="rId11"/>
        <a:stretch>
          <a:fillRect/>
        </a:stretch>
      </xdr:blipFill>
      <xdr:spPr>
        <a:xfrm>
          <a:off x="0" y="18411825"/>
          <a:ext cx="5800725" cy="38290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0.24575</cdr:x>
      <cdr:y>0.0515</cdr:y>
    </cdr:from>
    <cdr:to>
      <cdr:x>0.3365</cdr:x>
      <cdr:y>0.11375</cdr:y>
    </cdr:to>
    <cdr:sp textlink="' 1 ZS-Aufzf..-Mast'!$D$14">
      <cdr:nvSpPr>
        <cdr:cNvPr id="1" name="Text Box 1"/>
        <cdr:cNvSpPr txBox="1">
          <a:spLocks noChangeArrowheads="1"/>
        </cdr:cNvSpPr>
      </cdr:nvSpPr>
      <cdr:spPr>
        <a:xfrm>
          <a:off x="1295400" y="257175"/>
          <a:ext cx="476250" cy="314325"/>
        </a:xfrm>
        <a:prstGeom prst="rect">
          <a:avLst/>
        </a:prstGeom>
        <a:noFill/>
        <a:ln w="1" cmpd="sng">
          <a:noFill/>
        </a:ln>
      </cdr:spPr>
      <cdr:txBody>
        <a:bodyPr vertOverflow="clip" wrap="square" lIns="27432" tIns="22860" rIns="27432" bIns="22860" anchor="ctr"/>
        <a:p>
          <a:pPr algn="ctr">
            <a:defRPr/>
          </a:pPr>
          <a:fld id="{53a667f8-0b55-4fb8-8708-e5d931b6f56b}" type="TxLink">
            <a:rPr lang="en-US" cap="none" sz="1200" b="1" i="0" u="none" baseline="0">
              <a:solidFill>
                <a:srgbClr val="000000"/>
              </a:solidFill>
              <a:latin typeface="Arial"/>
              <a:ea typeface="Arial"/>
              <a:cs typeface="Arial"/>
            </a:rPr>
            <a:t>54,00</a:t>
          </a:fld>
        </a:p>
      </cdr:txBody>
    </cdr:sp>
  </cdr:relSizeAnchor>
  <cdr:relSizeAnchor xmlns:cdr="http://schemas.openxmlformats.org/drawingml/2006/chartDrawing">
    <cdr:from>
      <cdr:x>0.32825</cdr:x>
      <cdr:y>0.057</cdr:y>
    </cdr:from>
    <cdr:to>
      <cdr:x>0.7465</cdr:x>
      <cdr:y>0.1195</cdr:y>
    </cdr:to>
    <cdr:sp>
      <cdr:nvSpPr>
        <cdr:cNvPr id="2" name="Text Box 2"/>
        <cdr:cNvSpPr txBox="1">
          <a:spLocks noChangeArrowheads="1"/>
        </cdr:cNvSpPr>
      </cdr:nvSpPr>
      <cdr:spPr>
        <a:xfrm>
          <a:off x="1733550" y="285750"/>
          <a:ext cx="2209800" cy="3143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 je 25 kg Ferkel</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0.78025</cdr:x>
      <cdr:y>-0.0005</cdr:y>
    </cdr:from>
    <cdr:to>
      <cdr:x>0.99775</cdr:x>
      <cdr:y>0.081</cdr:y>
    </cdr:to>
    <cdr:sp>
      <cdr:nvSpPr>
        <cdr:cNvPr id="1" name="Text Box 1"/>
        <cdr:cNvSpPr txBox="1">
          <a:spLocks noChangeArrowheads="1"/>
        </cdr:cNvSpPr>
      </cdr:nvSpPr>
      <cdr:spPr>
        <a:xfrm>
          <a:off x="7905750" y="0"/>
          <a:ext cx="2200275" cy="390525"/>
        </a:xfrm>
        <a:prstGeom prst="rect">
          <a:avLst/>
        </a:prstGeom>
        <a:noFill/>
        <a:ln w="9525" cmpd="sng">
          <a:noFill/>
        </a:ln>
      </cdr:spPr>
      <cdr:txBody>
        <a:bodyPr vertOverflow="clip" wrap="square" lIns="45720" tIns="0" rIns="0" bIns="36576" anchor="b"/>
        <a:p>
          <a:pPr algn="l">
            <a:defRPr/>
          </a:pPr>
          <a:r>
            <a:rPr lang="en-US" cap="none" sz="1850" b="1" i="0" u="none" baseline="0">
              <a:solidFill>
                <a:srgbClr val="000000"/>
              </a:solidFill>
              <a:latin typeface="Arial"/>
              <a:ea typeface="Arial"/>
              <a:cs typeface="Arial"/>
            </a:rPr>
            <a:t> €/ 25 kg Ferkel</a:t>
          </a:r>
        </a:p>
      </cdr:txBody>
    </cdr:sp>
  </cdr:relSizeAnchor>
  <cdr:relSizeAnchor xmlns:cdr="http://schemas.openxmlformats.org/drawingml/2006/chartDrawing">
    <cdr:from>
      <cdr:x>0.54575</cdr:x>
      <cdr:y>0.00075</cdr:y>
    </cdr:from>
    <cdr:to>
      <cdr:x>0.72325</cdr:x>
      <cdr:y>0.071</cdr:y>
    </cdr:to>
    <cdr:sp>
      <cdr:nvSpPr>
        <cdr:cNvPr id="2" name="Text Box 2"/>
        <cdr:cNvSpPr txBox="1">
          <a:spLocks noChangeArrowheads="1"/>
        </cdr:cNvSpPr>
      </cdr:nvSpPr>
      <cdr:spPr>
        <a:xfrm>
          <a:off x="5524500" y="0"/>
          <a:ext cx="1800225" cy="333375"/>
        </a:xfrm>
        <a:prstGeom prst="rect">
          <a:avLst/>
        </a:prstGeom>
        <a:noFill/>
        <a:ln w="9525" cmpd="sng">
          <a:noFill/>
        </a:ln>
      </cdr:spPr>
      <cdr:txBody>
        <a:bodyPr vertOverflow="clip" wrap="square" lIns="36576" tIns="0" rIns="0" bIns="32004" anchor="b"/>
        <a:p>
          <a:pPr algn="l">
            <a:defRPr/>
          </a:pPr>
          <a:r>
            <a:rPr lang="en-US" cap="none" sz="1650" b="1" i="0" u="none" baseline="0">
              <a:solidFill>
                <a:srgbClr val="000000"/>
              </a:solidFill>
              <a:latin typeface="Arial"/>
              <a:ea typeface="Arial"/>
              <a:cs typeface="Arial"/>
            </a:rPr>
            <a:t> €/kg SG und </a:t>
          </a:r>
        </a:p>
      </cdr:txBody>
    </cdr:sp>
  </cdr:relSizeAnchor>
  <cdr:relSizeAnchor xmlns:cdr="http://schemas.openxmlformats.org/drawingml/2006/chartDrawing">
    <cdr:from>
      <cdr:x>0.47275</cdr:x>
      <cdr:y>0.00075</cdr:y>
    </cdr:from>
    <cdr:to>
      <cdr:x>0.54475</cdr:x>
      <cdr:y>0.07175</cdr:y>
    </cdr:to>
    <cdr:sp textlink="' 1 ZS-Aufzf..-Mast'!$D$81">
      <cdr:nvSpPr>
        <cdr:cNvPr id="3" name="Text Box 3"/>
        <cdr:cNvSpPr txBox="1">
          <a:spLocks noChangeArrowheads="1"/>
        </cdr:cNvSpPr>
      </cdr:nvSpPr>
      <cdr:spPr>
        <a:xfrm>
          <a:off x="4791075" y="0"/>
          <a:ext cx="733425" cy="342900"/>
        </a:xfrm>
        <a:prstGeom prst="rect">
          <a:avLst/>
        </a:prstGeom>
        <a:noFill/>
        <a:ln w="1" cmpd="sng">
          <a:noFill/>
        </a:ln>
      </cdr:spPr>
      <cdr:txBody>
        <a:bodyPr vertOverflow="clip" wrap="square" lIns="36576" tIns="27432" rIns="36576" bIns="27432" anchor="ctr"/>
        <a:p>
          <a:pPr algn="ctr">
            <a:defRPr/>
          </a:pPr>
          <a:fld id="{c7f42a20-61c7-4365-a070-925b17b842a1}" type="TxLink">
            <a:rPr lang="en-US" cap="none" sz="1800" b="1" i="0" u="none" baseline="0">
              <a:solidFill>
                <a:srgbClr val="000000"/>
              </a:solidFill>
              <a:latin typeface="Arial"/>
              <a:ea typeface="Arial"/>
              <a:cs typeface="Arial"/>
            </a:rPr>
            <a:t>1,75</a:t>
          </a:fld>
        </a:p>
      </cdr:txBody>
    </cdr:sp>
  </cdr:relSizeAnchor>
  <cdr:relSizeAnchor xmlns:cdr="http://schemas.openxmlformats.org/drawingml/2006/chartDrawing">
    <cdr:from>
      <cdr:x>0.709</cdr:x>
      <cdr:y>0.00625</cdr:y>
    </cdr:from>
    <cdr:to>
      <cdr:x>0.791</cdr:x>
      <cdr:y>0.077</cdr:y>
    </cdr:to>
    <cdr:sp textlink="' 1 ZS-Aufzf..-Mast'!$H$80">
      <cdr:nvSpPr>
        <cdr:cNvPr id="4" name="Text Box 4"/>
        <cdr:cNvSpPr txBox="1">
          <a:spLocks noChangeArrowheads="1"/>
        </cdr:cNvSpPr>
      </cdr:nvSpPr>
      <cdr:spPr>
        <a:xfrm>
          <a:off x="7181850" y="28575"/>
          <a:ext cx="828675" cy="342900"/>
        </a:xfrm>
        <a:prstGeom prst="rect">
          <a:avLst/>
        </a:prstGeom>
        <a:noFill/>
        <a:ln w="1" cmpd="sng">
          <a:noFill/>
        </a:ln>
      </cdr:spPr>
      <cdr:txBody>
        <a:bodyPr vertOverflow="clip" wrap="square" lIns="36576" tIns="27432" rIns="36576" bIns="27432" anchor="ctr"/>
        <a:p>
          <a:pPr algn="ctr">
            <a:defRPr/>
          </a:pPr>
          <a:fld id="{9dbc555e-a832-4398-9e7b-10bd84050a6b}" type="TxLink">
            <a:rPr lang="en-US" cap="none" sz="1800" b="1" i="0" u="none" baseline="0">
              <a:solidFill>
                <a:srgbClr val="000000"/>
              </a:solidFill>
              <a:latin typeface="Arial"/>
              <a:ea typeface="Arial"/>
              <a:cs typeface="Arial"/>
            </a:rPr>
            <a:t>54,00</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0.76325</cdr:x>
      <cdr:y>0.902</cdr:y>
    </cdr:from>
    <cdr:to>
      <cdr:x>0.97125</cdr:x>
      <cdr:y>0.9675</cdr:y>
    </cdr:to>
    <cdr:sp>
      <cdr:nvSpPr>
        <cdr:cNvPr id="1" name="Text Box 1"/>
        <cdr:cNvSpPr txBox="1">
          <a:spLocks noChangeArrowheads="1"/>
        </cdr:cNvSpPr>
      </cdr:nvSpPr>
      <cdr:spPr>
        <a:xfrm>
          <a:off x="7600950" y="4133850"/>
          <a:ext cx="2076450" cy="304800"/>
        </a:xfrm>
        <a:prstGeom prst="rect">
          <a:avLst/>
        </a:prstGeom>
        <a:solidFill>
          <a:srgbClr val="FFFF99"/>
        </a:solidFill>
        <a:ln w="9525" cmpd="sng">
          <a:solidFill>
            <a:srgbClr val="000000"/>
          </a:solidFill>
          <a:headEnd type="none"/>
          <a:tailEnd type="none"/>
        </a:ln>
      </cdr:spPr>
      <cdr:txBody>
        <a:bodyPr vertOverflow="clip" wrap="square" lIns="27432" tIns="22860" rIns="0" bIns="0"/>
        <a:p>
          <a:pPr algn="l">
            <a:defRPr/>
          </a:pPr>
          <a:r>
            <a:rPr lang="en-US" cap="none" sz="1000" b="0" i="0" u="none" baseline="0">
              <a:solidFill>
                <a:srgbClr val="000000"/>
              </a:solidFill>
              <a:latin typeface="Arial"/>
              <a:ea typeface="Arial"/>
              <a:cs typeface="Arial"/>
            </a:rPr>
            <a:t>Quelle: VOKO-SAU</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0.64425</cdr:x>
      <cdr:y>0.0125</cdr:y>
    </cdr:from>
    <cdr:to>
      <cdr:x>0.9415</cdr:x>
      <cdr:y>0.088</cdr:y>
    </cdr:to>
    <cdr:sp textlink="' 1 ZS-Aufzf..-Mast'!$F$4">
      <cdr:nvSpPr>
        <cdr:cNvPr id="1" name="Text Box 1"/>
        <cdr:cNvSpPr txBox="1">
          <a:spLocks noChangeArrowheads="1"/>
        </cdr:cNvSpPr>
      </cdr:nvSpPr>
      <cdr:spPr>
        <a:xfrm>
          <a:off x="6410325" y="57150"/>
          <a:ext cx="2962275" cy="400050"/>
        </a:xfrm>
        <a:prstGeom prst="rect">
          <a:avLst/>
        </a:prstGeom>
        <a:noFill/>
        <a:ln w="1" cmpd="sng">
          <a:noFill/>
        </a:ln>
      </cdr:spPr>
      <cdr:txBody>
        <a:bodyPr vertOverflow="clip" wrap="square" lIns="36576" tIns="27432" rIns="0" bIns="27432" anchor="ctr"/>
        <a:p>
          <a:pPr algn="l">
            <a:defRPr/>
          </a:pPr>
          <a:fld id="{0830a166-dbc6-45c6-af62-c698641bf047}" type="TxLink">
            <a:rPr lang="en-US" cap="none" sz="1800" b="1" i="0" u="none" baseline="0">
              <a:solidFill>
                <a:srgbClr val="000000"/>
              </a:solidFill>
              <a:latin typeface="Arial"/>
              <a:ea typeface="Arial"/>
              <a:cs typeface="Arial"/>
            </a:rPr>
            <a:t>Anfang Oktober 2016</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0.0245</cdr:x>
      <cdr:y>0.95</cdr:y>
    </cdr:from>
    <cdr:to>
      <cdr:x>0.25225</cdr:x>
      <cdr:y>1</cdr:y>
    </cdr:to>
    <cdr:sp>
      <cdr:nvSpPr>
        <cdr:cNvPr id="1" name="Textfeld 1"/>
        <cdr:cNvSpPr txBox="1">
          <a:spLocks noChangeArrowheads="1"/>
        </cdr:cNvSpPr>
      </cdr:nvSpPr>
      <cdr:spPr>
        <a:xfrm>
          <a:off x="238125" y="5191125"/>
          <a:ext cx="2286000" cy="323850"/>
        </a:xfrm>
        <a:prstGeom prst="rect">
          <a:avLst/>
        </a:prstGeom>
        <a:noFill/>
        <a:ln w="9525" cmpd="sng">
          <a:noFill/>
        </a:ln>
      </cdr:spPr>
      <cdr:txBody>
        <a:bodyPr vertOverflow="clip" wrap="square"/>
        <a:p>
          <a:pPr algn="l">
            <a:defRPr/>
          </a:pPr>
          <a:r>
            <a:rPr lang="en-US" cap="none" sz="1050" b="0" i="0" u="none" baseline="0">
              <a:solidFill>
                <a:srgbClr val="000000"/>
              </a:solidFill>
            </a:rPr>
            <a:t>LEL, Abt.2, Se</a:t>
          </a:r>
        </a:p>
      </cdr:txBody>
    </cdr:sp>
  </cdr:relSizeAnchor>
  <cdr:relSizeAnchor xmlns:cdr="http://schemas.openxmlformats.org/drawingml/2006/chartDrawing">
    <cdr:from>
      <cdr:x>0.8725</cdr:x>
      <cdr:y>0.12525</cdr:y>
    </cdr:from>
    <cdr:to>
      <cdr:x>0.99125</cdr:x>
      <cdr:y>0.1855</cdr:y>
    </cdr:to>
    <cdr:sp>
      <cdr:nvSpPr>
        <cdr:cNvPr id="2" name="Textfeld 3"/>
        <cdr:cNvSpPr txBox="1">
          <a:spLocks noChangeArrowheads="1"/>
        </cdr:cNvSpPr>
      </cdr:nvSpPr>
      <cdr:spPr>
        <a:xfrm>
          <a:off x="8763000" y="676275"/>
          <a:ext cx="1190625" cy="333375"/>
        </a:xfrm>
        <a:prstGeom prst="rect">
          <a:avLst/>
        </a:prstGeom>
        <a:noFill/>
        <a:ln w="9525" cmpd="sng">
          <a:noFill/>
        </a:ln>
      </cdr:spPr>
      <cdr:txBody>
        <a:bodyPr vertOverflow="clip" wrap="square"/>
        <a:p>
          <a:pPr algn="ctr">
            <a:defRPr/>
          </a:pPr>
          <a:r>
            <a:rPr lang="en-US" cap="none" sz="1400" b="0" i="0" u="none" baseline="0">
              <a:solidFill>
                <a:srgbClr val="000000"/>
              </a:solidFill>
            </a:rPr>
            <a:t>Aufgez. Ferkel/Sau</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0.66175</cdr:x>
      <cdr:y>0.022</cdr:y>
    </cdr:from>
    <cdr:to>
      <cdr:x>0.8815</cdr:x>
      <cdr:y>0.07625</cdr:y>
    </cdr:to>
    <cdr:sp textlink="' 1 ZS-Aufzf..-Mast'!$F$70">
      <cdr:nvSpPr>
        <cdr:cNvPr id="1" name="Text Box 1"/>
        <cdr:cNvSpPr txBox="1">
          <a:spLocks noChangeArrowheads="1"/>
        </cdr:cNvSpPr>
      </cdr:nvSpPr>
      <cdr:spPr>
        <a:xfrm>
          <a:off x="6629400" y="104775"/>
          <a:ext cx="2200275" cy="266700"/>
        </a:xfrm>
        <a:prstGeom prst="rect">
          <a:avLst/>
        </a:prstGeom>
        <a:noFill/>
        <a:ln w="1" cmpd="sng">
          <a:noFill/>
        </a:ln>
      </cdr:spPr>
      <cdr:txBody>
        <a:bodyPr vertOverflow="clip" wrap="square" lIns="36576" tIns="27432" rIns="0" bIns="27432" anchor="ctr"/>
        <a:p>
          <a:pPr algn="l">
            <a:defRPr/>
          </a:pPr>
          <a:fld id="{7e3a81c4-9ed8-48a9-a752-75747991c31c}" type="TxLink">
            <a:rPr lang="en-US" cap="none" sz="1600" b="1" i="0" u="none" baseline="0">
              <a:solidFill>
                <a:srgbClr val="000000"/>
              </a:solidFill>
              <a:latin typeface="Arial"/>
              <a:ea typeface="Arial"/>
              <a:cs typeface="Arial"/>
            </a:rPr>
            <a:t>Anfang Oktober 2016</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xdr:row>
      <xdr:rowOff>28575</xdr:rowOff>
    </xdr:from>
    <xdr:to>
      <xdr:col>0</xdr:col>
      <xdr:colOff>0</xdr:colOff>
      <xdr:row>94</xdr:row>
      <xdr:rowOff>57150</xdr:rowOff>
    </xdr:to>
    <xdr:sp>
      <xdr:nvSpPr>
        <xdr:cNvPr id="1" name="Zeichnung 1"/>
        <xdr:cNvSpPr>
          <a:spLocks/>
        </xdr:cNvSpPr>
      </xdr:nvSpPr>
      <xdr:spPr>
        <a:xfrm>
          <a:off x="0" y="21221700"/>
          <a:ext cx="0" cy="38100"/>
        </a:xfrm>
        <a:custGeom>
          <a:pathLst>
            <a:path h="16384" w="16384">
              <a:moveTo>
                <a:pt x="0" y="16384"/>
              </a:moveTo>
              <a:lnTo>
                <a:pt x="10923" y="0"/>
              </a:lnTo>
              <a:lnTo>
                <a:pt x="16384" y="5461"/>
              </a:lnTo>
              <a:lnTo>
                <a:pt x="0" y="16384"/>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114300</xdr:colOff>
      <xdr:row>1</xdr:row>
      <xdr:rowOff>57150</xdr:rowOff>
    </xdr:from>
    <xdr:to>
      <xdr:col>1</xdr:col>
      <xdr:colOff>514350</xdr:colOff>
      <xdr:row>1</xdr:row>
      <xdr:rowOff>361950</xdr:rowOff>
    </xdr:to>
    <xdr:pic>
      <xdr:nvPicPr>
        <xdr:cNvPr id="2" name="Bild 1"/>
        <xdr:cNvPicPr preferRelativeResize="1">
          <a:picLocks noChangeAspect="1"/>
        </xdr:cNvPicPr>
      </xdr:nvPicPr>
      <xdr:blipFill>
        <a:blip r:embed="rId1"/>
        <a:stretch>
          <a:fillRect/>
        </a:stretch>
      </xdr:blipFill>
      <xdr:spPr>
        <a:xfrm>
          <a:off x="209550" y="85725"/>
          <a:ext cx="400050" cy="304800"/>
        </a:xfrm>
        <a:prstGeom prst="rect">
          <a:avLst/>
        </a:prstGeom>
        <a:noFill/>
        <a:ln w="1" cmpd="sng">
          <a:noFill/>
        </a:ln>
      </xdr:spPr>
    </xdr:pic>
    <xdr:clientData/>
  </xdr:twoCellAnchor>
  <xdr:twoCellAnchor editAs="oneCell">
    <xdr:from>
      <xdr:col>1</xdr:col>
      <xdr:colOff>104775</xdr:colOff>
      <xdr:row>67</xdr:row>
      <xdr:rowOff>57150</xdr:rowOff>
    </xdr:from>
    <xdr:to>
      <xdr:col>1</xdr:col>
      <xdr:colOff>552450</xdr:colOff>
      <xdr:row>67</xdr:row>
      <xdr:rowOff>400050</xdr:rowOff>
    </xdr:to>
    <xdr:pic>
      <xdr:nvPicPr>
        <xdr:cNvPr id="3" name="Bild 1"/>
        <xdr:cNvPicPr preferRelativeResize="1">
          <a:picLocks noChangeAspect="1"/>
        </xdr:cNvPicPr>
      </xdr:nvPicPr>
      <xdr:blipFill>
        <a:blip r:embed="rId1"/>
        <a:stretch>
          <a:fillRect/>
        </a:stretch>
      </xdr:blipFill>
      <xdr:spPr>
        <a:xfrm>
          <a:off x="200025" y="14439900"/>
          <a:ext cx="447675" cy="352425"/>
        </a:xfrm>
        <a:prstGeom prst="rect">
          <a:avLst/>
        </a:prstGeom>
        <a:noFill/>
        <a:ln w="1" cmpd="sng">
          <a:noFill/>
        </a:ln>
      </xdr:spPr>
    </xdr:pic>
    <xdr:clientData/>
  </xdr:twoCellAnchor>
  <xdr:twoCellAnchor>
    <xdr:from>
      <xdr:col>1</xdr:col>
      <xdr:colOff>0</xdr:colOff>
      <xdr:row>129</xdr:row>
      <xdr:rowOff>0</xdr:rowOff>
    </xdr:from>
    <xdr:to>
      <xdr:col>5</xdr:col>
      <xdr:colOff>38100</xdr:colOff>
      <xdr:row>160</xdr:row>
      <xdr:rowOff>133350</xdr:rowOff>
    </xdr:to>
    <xdr:graphicFrame>
      <xdr:nvGraphicFramePr>
        <xdr:cNvPr id="4" name="Diagramm 20"/>
        <xdr:cNvGraphicFramePr/>
      </xdr:nvGraphicFramePr>
      <xdr:xfrm>
        <a:off x="95250" y="30546675"/>
        <a:ext cx="5286375" cy="50673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161</xdr:row>
      <xdr:rowOff>38100</xdr:rowOff>
    </xdr:from>
    <xdr:to>
      <xdr:col>9</xdr:col>
      <xdr:colOff>9525</xdr:colOff>
      <xdr:row>188</xdr:row>
      <xdr:rowOff>76200</xdr:rowOff>
    </xdr:to>
    <xdr:graphicFrame>
      <xdr:nvGraphicFramePr>
        <xdr:cNvPr id="5" name="Diagramm 21"/>
        <xdr:cNvGraphicFramePr/>
      </xdr:nvGraphicFramePr>
      <xdr:xfrm>
        <a:off x="104775" y="35680650"/>
        <a:ext cx="10134600" cy="47815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201</xdr:row>
      <xdr:rowOff>0</xdr:rowOff>
    </xdr:from>
    <xdr:to>
      <xdr:col>9</xdr:col>
      <xdr:colOff>0</xdr:colOff>
      <xdr:row>240</xdr:row>
      <xdr:rowOff>0</xdr:rowOff>
    </xdr:to>
    <xdr:graphicFrame>
      <xdr:nvGraphicFramePr>
        <xdr:cNvPr id="6" name="Diagramm 23"/>
        <xdr:cNvGraphicFramePr/>
      </xdr:nvGraphicFramePr>
      <xdr:xfrm>
        <a:off x="104775" y="53501925"/>
        <a:ext cx="10125075" cy="75247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192</xdr:row>
      <xdr:rowOff>228600</xdr:rowOff>
    </xdr:from>
    <xdr:to>
      <xdr:col>9</xdr:col>
      <xdr:colOff>0</xdr:colOff>
      <xdr:row>200</xdr:row>
      <xdr:rowOff>66675</xdr:rowOff>
    </xdr:to>
    <xdr:graphicFrame>
      <xdr:nvGraphicFramePr>
        <xdr:cNvPr id="7" name="Diagramm 24"/>
        <xdr:cNvGraphicFramePr/>
      </xdr:nvGraphicFramePr>
      <xdr:xfrm>
        <a:off x="95250" y="45767625"/>
        <a:ext cx="10134600" cy="7639050"/>
      </xdr:xfrm>
      <a:graphic>
        <a:graphicData uri="http://schemas.openxmlformats.org/drawingml/2006/chart">
          <c:chart xmlns:c="http://schemas.openxmlformats.org/drawingml/2006/chart" r:id="rId5"/>
        </a:graphicData>
      </a:graphic>
    </xdr:graphicFrame>
    <xdr:clientData/>
  </xdr:twoCellAnchor>
  <xdr:twoCellAnchor>
    <xdr:from>
      <xdr:col>1</xdr:col>
      <xdr:colOff>47625</xdr:colOff>
      <xdr:row>240</xdr:row>
      <xdr:rowOff>47625</xdr:rowOff>
    </xdr:from>
    <xdr:to>
      <xdr:col>8</xdr:col>
      <xdr:colOff>447675</xdr:colOff>
      <xdr:row>242</xdr:row>
      <xdr:rowOff>2400300</xdr:rowOff>
    </xdr:to>
    <xdr:graphicFrame>
      <xdr:nvGraphicFramePr>
        <xdr:cNvPr id="8" name="Diagramm 27"/>
        <xdr:cNvGraphicFramePr/>
      </xdr:nvGraphicFramePr>
      <xdr:xfrm>
        <a:off x="142875" y="61074300"/>
        <a:ext cx="9963150" cy="4591050"/>
      </xdr:xfrm>
      <a:graphic>
        <a:graphicData uri="http://schemas.openxmlformats.org/drawingml/2006/chart">
          <c:chart xmlns:c="http://schemas.openxmlformats.org/drawingml/2006/chart" r:id="rId6"/>
        </a:graphicData>
      </a:graphic>
    </xdr:graphicFrame>
    <xdr:clientData/>
  </xdr:twoCellAnchor>
  <xdr:twoCellAnchor>
    <xdr:from>
      <xdr:col>1</xdr:col>
      <xdr:colOff>47625</xdr:colOff>
      <xdr:row>242</xdr:row>
      <xdr:rowOff>2438400</xdr:rowOff>
    </xdr:from>
    <xdr:to>
      <xdr:col>8</xdr:col>
      <xdr:colOff>447675</xdr:colOff>
      <xdr:row>244</xdr:row>
      <xdr:rowOff>1990725</xdr:rowOff>
    </xdr:to>
    <xdr:graphicFrame>
      <xdr:nvGraphicFramePr>
        <xdr:cNvPr id="9" name="Diagramm 29"/>
        <xdr:cNvGraphicFramePr/>
      </xdr:nvGraphicFramePr>
      <xdr:xfrm>
        <a:off x="142875" y="65703450"/>
        <a:ext cx="9963150" cy="4533900"/>
      </xdr:xfrm>
      <a:graphic>
        <a:graphicData uri="http://schemas.openxmlformats.org/drawingml/2006/chart">
          <c:chart xmlns:c="http://schemas.openxmlformats.org/drawingml/2006/chart" r:id="rId7"/>
        </a:graphicData>
      </a:graphic>
    </xdr:graphicFrame>
    <xdr:clientData/>
  </xdr:twoCellAnchor>
  <xdr:twoCellAnchor>
    <xdr:from>
      <xdr:col>1</xdr:col>
      <xdr:colOff>57150</xdr:colOff>
      <xdr:row>245</xdr:row>
      <xdr:rowOff>76200</xdr:rowOff>
    </xdr:from>
    <xdr:to>
      <xdr:col>8</xdr:col>
      <xdr:colOff>457200</xdr:colOff>
      <xdr:row>246</xdr:row>
      <xdr:rowOff>1676400</xdr:rowOff>
    </xdr:to>
    <xdr:graphicFrame>
      <xdr:nvGraphicFramePr>
        <xdr:cNvPr id="10" name="Diagramm 31"/>
        <xdr:cNvGraphicFramePr/>
      </xdr:nvGraphicFramePr>
      <xdr:xfrm>
        <a:off x="152400" y="70313550"/>
        <a:ext cx="9963150" cy="5257800"/>
      </xdr:xfrm>
      <a:graphic>
        <a:graphicData uri="http://schemas.openxmlformats.org/drawingml/2006/chart">
          <c:chart xmlns:c="http://schemas.openxmlformats.org/drawingml/2006/chart" r:id="rId8"/>
        </a:graphicData>
      </a:graphic>
    </xdr:graphicFrame>
    <xdr:clientData/>
  </xdr:twoCellAnchor>
  <xdr:twoCellAnchor>
    <xdr:from>
      <xdr:col>5</xdr:col>
      <xdr:colOff>85725</xdr:colOff>
      <xdr:row>129</xdr:row>
      <xdr:rowOff>0</xdr:rowOff>
    </xdr:from>
    <xdr:to>
      <xdr:col>9</xdr:col>
      <xdr:colOff>0</xdr:colOff>
      <xdr:row>160</xdr:row>
      <xdr:rowOff>133350</xdr:rowOff>
    </xdr:to>
    <xdr:graphicFrame>
      <xdr:nvGraphicFramePr>
        <xdr:cNvPr id="11" name="Diagramm 94"/>
        <xdr:cNvGraphicFramePr/>
      </xdr:nvGraphicFramePr>
      <xdr:xfrm>
        <a:off x="5429250" y="30546675"/>
        <a:ext cx="4800600" cy="5067300"/>
      </xdr:xfrm>
      <a:graphic>
        <a:graphicData uri="http://schemas.openxmlformats.org/drawingml/2006/chart">
          <c:chart xmlns:c="http://schemas.openxmlformats.org/drawingml/2006/chart" r:id="rId9"/>
        </a:graphicData>
      </a:graphic>
    </xdr:graphicFrame>
    <xdr:clientData/>
  </xdr:twoCellAnchor>
  <xdr:twoCellAnchor editAs="oneCell">
    <xdr:from>
      <xdr:col>1</xdr:col>
      <xdr:colOff>85725</xdr:colOff>
      <xdr:row>279</xdr:row>
      <xdr:rowOff>76200</xdr:rowOff>
    </xdr:from>
    <xdr:to>
      <xdr:col>5</xdr:col>
      <xdr:colOff>1600200</xdr:colOff>
      <xdr:row>315</xdr:row>
      <xdr:rowOff>104775</xdr:rowOff>
    </xdr:to>
    <xdr:pic>
      <xdr:nvPicPr>
        <xdr:cNvPr id="12" name="Grafik 14"/>
        <xdr:cNvPicPr preferRelativeResize="1">
          <a:picLocks noChangeAspect="1"/>
        </xdr:cNvPicPr>
      </xdr:nvPicPr>
      <xdr:blipFill>
        <a:blip r:embed="rId10"/>
        <a:stretch>
          <a:fillRect/>
        </a:stretch>
      </xdr:blipFill>
      <xdr:spPr>
        <a:xfrm>
          <a:off x="180975" y="88125300"/>
          <a:ext cx="6762750" cy="5705475"/>
        </a:xfrm>
        <a:prstGeom prst="rect">
          <a:avLst/>
        </a:prstGeom>
        <a:noFill/>
        <a:ln w="9525" cmpd="sng">
          <a:noFill/>
        </a:ln>
      </xdr:spPr>
    </xdr:pic>
    <xdr:clientData/>
  </xdr:twoCellAnchor>
  <xdr:twoCellAnchor editAs="oneCell">
    <xdr:from>
      <xdr:col>1</xdr:col>
      <xdr:colOff>142875</xdr:colOff>
      <xdr:row>315</xdr:row>
      <xdr:rowOff>85725</xdr:rowOff>
    </xdr:from>
    <xdr:to>
      <xdr:col>5</xdr:col>
      <xdr:colOff>666750</xdr:colOff>
      <xdr:row>334</xdr:row>
      <xdr:rowOff>152400</xdr:rowOff>
    </xdr:to>
    <xdr:pic>
      <xdr:nvPicPr>
        <xdr:cNvPr id="13" name="Grafik 17"/>
        <xdr:cNvPicPr preferRelativeResize="1">
          <a:picLocks noChangeAspect="1"/>
        </xdr:cNvPicPr>
      </xdr:nvPicPr>
      <xdr:blipFill>
        <a:blip r:embed="rId11"/>
        <a:stretch>
          <a:fillRect/>
        </a:stretch>
      </xdr:blipFill>
      <xdr:spPr>
        <a:xfrm>
          <a:off x="238125" y="93878400"/>
          <a:ext cx="5772150" cy="3143250"/>
        </a:xfrm>
        <a:prstGeom prst="rect">
          <a:avLst/>
        </a:prstGeom>
        <a:noFill/>
        <a:ln w="9525" cmpd="sng">
          <a:noFill/>
        </a:ln>
      </xdr:spPr>
    </xdr:pic>
    <xdr:clientData/>
  </xdr:twoCellAnchor>
  <xdr:twoCellAnchor>
    <xdr:from>
      <xdr:col>1</xdr:col>
      <xdr:colOff>9525</xdr:colOff>
      <xdr:row>274</xdr:row>
      <xdr:rowOff>123825</xdr:rowOff>
    </xdr:from>
    <xdr:to>
      <xdr:col>8</xdr:col>
      <xdr:colOff>495300</xdr:colOff>
      <xdr:row>278</xdr:row>
      <xdr:rowOff>9525</xdr:rowOff>
    </xdr:to>
    <xdr:graphicFrame>
      <xdr:nvGraphicFramePr>
        <xdr:cNvPr id="14" name="Diagramm 1"/>
        <xdr:cNvGraphicFramePr/>
      </xdr:nvGraphicFramePr>
      <xdr:xfrm>
        <a:off x="104775" y="82515075"/>
        <a:ext cx="10048875" cy="5467350"/>
      </xdr:xfrm>
      <a:graphic>
        <a:graphicData uri="http://schemas.openxmlformats.org/drawingml/2006/chart">
          <c:chart xmlns:c="http://schemas.openxmlformats.org/drawingml/2006/chart" r:id="rId12"/>
        </a:graphicData>
      </a:graphic>
    </xdr:graphicFrame>
    <xdr:clientData/>
  </xdr:twoCellAnchor>
  <xdr:twoCellAnchor>
    <xdr:from>
      <xdr:col>1</xdr:col>
      <xdr:colOff>28575</xdr:colOff>
      <xdr:row>189</xdr:row>
      <xdr:rowOff>9525</xdr:rowOff>
    </xdr:from>
    <xdr:to>
      <xdr:col>8</xdr:col>
      <xdr:colOff>495300</xdr:colOff>
      <xdr:row>192</xdr:row>
      <xdr:rowOff>9525</xdr:rowOff>
    </xdr:to>
    <xdr:graphicFrame>
      <xdr:nvGraphicFramePr>
        <xdr:cNvPr id="15" name="Diagramm 25"/>
        <xdr:cNvGraphicFramePr/>
      </xdr:nvGraphicFramePr>
      <xdr:xfrm>
        <a:off x="123825" y="40557450"/>
        <a:ext cx="10029825" cy="4991100"/>
      </xdr:xfrm>
      <a:graphic>
        <a:graphicData uri="http://schemas.openxmlformats.org/drawingml/2006/chart">
          <c:chart xmlns:c="http://schemas.openxmlformats.org/drawingml/2006/chart" r:id="rId1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lt\VOKO-SAU%203.5_201602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0 Anforderungen AFP"/>
      <sheetName val=" 1 ZS-Aufzf..-Mast"/>
      <sheetName val="2  ZS-Babyf.-Aufz."/>
      <sheetName val="3 Vergl. FE-MÄ"/>
      <sheetName val="4 Vergl. BabyFE- Aufz."/>
      <sheetName val="5 Vergleich Fe.erzeug."/>
      <sheetName val="6 Vergl. Aufz.-Mast"/>
    </sheetNames>
    <sheetDataSet>
      <sheetData sheetId="2">
        <row r="41">
          <cell r="P41" t="str">
            <v>Ferkelerzeugung</v>
          </cell>
          <cell r="Q41" t="str">
            <v>Mast</v>
          </cell>
        </row>
        <row r="42">
          <cell r="K42" t="str">
            <v>Bestandsergänzung</v>
          </cell>
          <cell r="P42">
            <v>0.06962023888855073</v>
          </cell>
          <cell r="Q42">
            <v>0.36663308757303487</v>
          </cell>
        </row>
        <row r="43">
          <cell r="K43" t="str">
            <v>Futter</v>
          </cell>
          <cell r="P43">
            <v>0.40522143589449633</v>
          </cell>
          <cell r="Q43">
            <v>0.44289419776519806</v>
          </cell>
        </row>
        <row r="44">
          <cell r="K44" t="str">
            <v>sonst. var. Kosten</v>
          </cell>
          <cell r="P44">
            <v>0.17613136249918826</v>
          </cell>
          <cell r="Q44">
            <v>0.034756652545046514</v>
          </cell>
        </row>
        <row r="45">
          <cell r="K45" t="str">
            <v>Stall u. Gemeinkosten</v>
          </cell>
          <cell r="P45">
            <v>0.23257424792436263</v>
          </cell>
          <cell r="Q45">
            <v>0.11618572532684801</v>
          </cell>
        </row>
        <row r="46">
          <cell r="K46" t="str">
            <v>Arbeit</v>
          </cell>
          <cell r="P46">
            <v>0.11645271479340207</v>
          </cell>
          <cell r="Q46">
            <v>0.039530336789872667</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120"/>
  <sheetViews>
    <sheetView showGridLines="0" tabSelected="1" zoomScale="75" zoomScaleNormal="75" zoomScalePageLayoutView="0" workbookViewId="0" topLeftCell="A1">
      <selection activeCell="H5" sqref="H5"/>
    </sheetView>
  </sheetViews>
  <sheetFormatPr defaultColWidth="11.421875" defaultRowHeight="12.75"/>
  <cols>
    <col min="1" max="1" width="1.421875" style="226" customWidth="1"/>
    <col min="2" max="2" width="59.7109375" style="15" customWidth="1"/>
    <col min="3" max="3" width="11.7109375" style="15" customWidth="1"/>
    <col min="4" max="4" width="11.140625" style="15" customWidth="1"/>
    <col min="5" max="5" width="25.00390625" style="15" customWidth="1"/>
    <col min="6" max="6" width="19.28125" style="15" customWidth="1"/>
    <col min="7" max="7" width="11.140625" style="15" customWidth="1"/>
    <col min="8" max="8" width="19.421875" style="15" customWidth="1"/>
    <col min="9" max="9" width="9.7109375" style="15" customWidth="1"/>
    <col min="10" max="10" width="8.421875" style="15" customWidth="1"/>
    <col min="11" max="11" width="2.421875" style="1" customWidth="1"/>
    <col min="12" max="12" width="8.8515625" style="1" customWidth="1"/>
    <col min="13" max="16384" width="11.421875" style="1" customWidth="1"/>
  </cols>
  <sheetData>
    <row r="1" spans="2:13" ht="16.5" customHeight="1" thickBot="1">
      <c r="B1" s="14"/>
      <c r="C1" s="14"/>
      <c r="D1" s="14"/>
      <c r="E1" s="14"/>
      <c r="F1" s="14"/>
      <c r="G1" s="14"/>
      <c r="H1" s="14"/>
      <c r="I1" s="14"/>
      <c r="J1" s="14"/>
      <c r="K1" s="3"/>
      <c r="L1" s="3"/>
      <c r="M1" s="3"/>
    </row>
    <row r="2" spans="2:13" ht="54" customHeight="1" thickBot="1">
      <c r="B2" s="1247" t="s">
        <v>276</v>
      </c>
      <c r="C2" s="1248"/>
      <c r="D2" s="1248"/>
      <c r="E2" s="1248"/>
      <c r="F2" s="1248"/>
      <c r="G2" s="1249" t="str">
        <f>' 1 ZS-Aufzf..-Mast'!H2</f>
        <v>Vers. 3.5
(10/2016 )</v>
      </c>
      <c r="H2" s="1250"/>
      <c r="I2" s="14"/>
      <c r="J2" s="14"/>
      <c r="K2" s="3"/>
      <c r="L2" s="3"/>
      <c r="M2" s="3"/>
    </row>
    <row r="3" spans="2:13" ht="12" customHeight="1">
      <c r="B3" s="14"/>
      <c r="C3" s="14"/>
      <c r="D3" s="14"/>
      <c r="E3" s="14"/>
      <c r="F3" s="14"/>
      <c r="G3" s="14"/>
      <c r="H3" s="14"/>
      <c r="I3" s="14"/>
      <c r="J3" s="14"/>
      <c r="K3" s="3"/>
      <c r="L3" s="3"/>
      <c r="M3" s="3"/>
    </row>
    <row r="4" spans="1:8" s="277" customFormat="1" ht="20.25" customHeight="1">
      <c r="A4" s="275"/>
      <c r="B4" s="274" t="s">
        <v>133</v>
      </c>
      <c r="C4" s="276"/>
      <c r="D4" s="276"/>
      <c r="H4" s="781" t="s">
        <v>365</v>
      </c>
    </row>
    <row r="5" spans="1:4" s="277" customFormat="1" ht="32.25" customHeight="1">
      <c r="A5" s="275"/>
      <c r="B5" s="274" t="s">
        <v>142</v>
      </c>
      <c r="C5" s="276"/>
      <c r="D5" s="276"/>
    </row>
    <row r="6" spans="2:10" ht="26.25" customHeight="1">
      <c r="B6" s="1251" t="s">
        <v>281</v>
      </c>
      <c r="C6" s="1251"/>
      <c r="D6" s="1251"/>
      <c r="E6" s="1251"/>
      <c r="F6" s="1251"/>
      <c r="G6" s="1251"/>
      <c r="H6" s="1251"/>
      <c r="I6" s="1"/>
      <c r="J6" s="1"/>
    </row>
    <row r="7" spans="2:10" ht="18" customHeight="1">
      <c r="B7" s="227" t="s">
        <v>280</v>
      </c>
      <c r="C7" s="227"/>
      <c r="D7" s="227"/>
      <c r="E7" s="227"/>
      <c r="F7" s="227"/>
      <c r="G7" s="227"/>
      <c r="H7" s="227"/>
      <c r="I7" s="1"/>
      <c r="J7" s="1"/>
    </row>
    <row r="8" spans="2:10" ht="19.5" customHeight="1">
      <c r="B8" s="224" t="s">
        <v>239</v>
      </c>
      <c r="C8" s="224"/>
      <c r="D8"/>
      <c r="E8" s="1"/>
      <c r="F8" s="1"/>
      <c r="G8" s="1"/>
      <c r="H8" s="1"/>
      <c r="I8" s="1"/>
      <c r="J8" s="1"/>
    </row>
    <row r="9" spans="2:10" ht="19.5" customHeight="1">
      <c r="B9" s="224" t="s">
        <v>241</v>
      </c>
      <c r="C9" s="224"/>
      <c r="D9"/>
      <c r="E9" s="1"/>
      <c r="F9" s="1"/>
      <c r="G9" s="1"/>
      <c r="H9" s="1"/>
      <c r="I9" s="1"/>
      <c r="J9" s="1"/>
    </row>
    <row r="10" spans="2:10" ht="19.5" customHeight="1">
      <c r="B10" s="224" t="s">
        <v>240</v>
      </c>
      <c r="C10" s="224"/>
      <c r="D10"/>
      <c r="E10" s="1"/>
      <c r="F10" s="1"/>
      <c r="G10" s="1"/>
      <c r="H10" s="1"/>
      <c r="I10" s="1"/>
      <c r="J10" s="1"/>
    </row>
    <row r="11" spans="2:10" ht="19.5" customHeight="1">
      <c r="B11" s="224" t="s">
        <v>100</v>
      </c>
      <c r="C11" s="224"/>
      <c r="D11"/>
      <c r="E11"/>
      <c r="F11"/>
      <c r="G11"/>
      <c r="H11"/>
      <c r="I11" s="1"/>
      <c r="J11" s="1"/>
    </row>
    <row r="12" spans="2:10" ht="25.5" customHeight="1">
      <c r="B12" s="227" t="s">
        <v>277</v>
      </c>
      <c r="C12" s="224"/>
      <c r="D12"/>
      <c r="E12"/>
      <c r="F12"/>
      <c r="G12"/>
      <c r="H12"/>
      <c r="I12" s="1"/>
      <c r="J12" s="1"/>
    </row>
    <row r="13" spans="2:10" ht="19.5" customHeight="1">
      <c r="B13" s="227" t="s">
        <v>295</v>
      </c>
      <c r="C13" s="224"/>
      <c r="D13"/>
      <c r="E13"/>
      <c r="F13"/>
      <c r="G13"/>
      <c r="H13"/>
      <c r="I13" s="1"/>
      <c r="J13" s="1"/>
    </row>
    <row r="14" spans="2:10" ht="19.5" customHeight="1">
      <c r="B14" s="227" t="s">
        <v>278</v>
      </c>
      <c r="C14" s="224"/>
      <c r="D14"/>
      <c r="E14"/>
      <c r="F14"/>
      <c r="G14"/>
      <c r="H14"/>
      <c r="I14" s="1"/>
      <c r="J14" s="1"/>
    </row>
    <row r="15" spans="2:10" ht="19.5" customHeight="1">
      <c r="B15" s="227" t="s">
        <v>279</v>
      </c>
      <c r="C15" s="224"/>
      <c r="D15"/>
      <c r="E15"/>
      <c r="F15"/>
      <c r="G15"/>
      <c r="H15"/>
      <c r="I15" s="1"/>
      <c r="J15" s="1"/>
    </row>
    <row r="16" spans="2:10" ht="30.75" customHeight="1">
      <c r="B16" s="274" t="s">
        <v>143</v>
      </c>
      <c r="C16" s="224"/>
      <c r="D16"/>
      <c r="E16"/>
      <c r="F16"/>
      <c r="G16"/>
      <c r="H16"/>
      <c r="I16" s="1"/>
      <c r="J16" s="1"/>
    </row>
    <row r="17" spans="2:10" ht="61.5" customHeight="1">
      <c r="B17" s="1252" t="s">
        <v>282</v>
      </c>
      <c r="C17" s="1253"/>
      <c r="D17" s="1253"/>
      <c r="E17" s="1253"/>
      <c r="F17" s="1253"/>
      <c r="G17" s="1253"/>
      <c r="H17" s="1253"/>
      <c r="I17" s="1"/>
      <c r="J17" s="1"/>
    </row>
    <row r="18" spans="2:10" ht="59.25" customHeight="1">
      <c r="B18" s="1252" t="s">
        <v>254</v>
      </c>
      <c r="C18" s="1253"/>
      <c r="D18" s="1253"/>
      <c r="E18" s="1253"/>
      <c r="F18" s="1253"/>
      <c r="G18" s="1253"/>
      <c r="H18" s="1253"/>
      <c r="I18" s="1"/>
      <c r="J18" s="1"/>
    </row>
    <row r="19" spans="2:10" ht="41.25" customHeight="1">
      <c r="B19" s="1257" t="s">
        <v>283</v>
      </c>
      <c r="C19" s="1258"/>
      <c r="D19" s="1258"/>
      <c r="E19" s="1258"/>
      <c r="F19" s="1258"/>
      <c r="G19" s="1258"/>
      <c r="H19" s="1258"/>
      <c r="I19" s="1"/>
      <c r="J19" s="1"/>
    </row>
    <row r="20" spans="2:10" ht="78" customHeight="1">
      <c r="B20" s="1255" t="s">
        <v>311</v>
      </c>
      <c r="C20" s="1255"/>
      <c r="D20" s="1255"/>
      <c r="E20" s="1255"/>
      <c r="F20" s="1255"/>
      <c r="G20" s="1255"/>
      <c r="H20" s="1255"/>
      <c r="I20" s="1"/>
      <c r="J20" s="1"/>
    </row>
    <row r="21" spans="2:10" ht="30" customHeight="1">
      <c r="B21" s="224" t="s">
        <v>104</v>
      </c>
      <c r="C21" s="224"/>
      <c r="D21"/>
      <c r="E21"/>
      <c r="F21"/>
      <c r="G21"/>
      <c r="H21"/>
      <c r="I21" s="1"/>
      <c r="J21" s="1"/>
    </row>
    <row r="22" spans="2:10" ht="21.75" customHeight="1">
      <c r="B22" s="224" t="s">
        <v>304</v>
      </c>
      <c r="C22" s="224"/>
      <c r="D22"/>
      <c r="E22"/>
      <c r="F22"/>
      <c r="G22"/>
      <c r="H22"/>
      <c r="I22" s="1"/>
      <c r="J22" s="1"/>
    </row>
    <row r="23" spans="2:10" ht="21.75" customHeight="1">
      <c r="B23" s="224" t="s">
        <v>312</v>
      </c>
      <c r="C23" s="224"/>
      <c r="D23"/>
      <c r="E23"/>
      <c r="F23"/>
      <c r="G23"/>
      <c r="H23"/>
      <c r="I23" s="1"/>
      <c r="J23" s="1"/>
    </row>
    <row r="24" spans="2:10" ht="21.75" customHeight="1">
      <c r="B24" s="224" t="s">
        <v>349</v>
      </c>
      <c r="C24" s="224"/>
      <c r="D24"/>
      <c r="E24"/>
      <c r="F24"/>
      <c r="G24"/>
      <c r="H24"/>
      <c r="I24" s="1"/>
      <c r="J24" s="1"/>
    </row>
    <row r="25" spans="2:10" ht="21.75" customHeight="1">
      <c r="B25" s="1256" t="s">
        <v>314</v>
      </c>
      <c r="C25" s="1256"/>
      <c r="D25" s="1256"/>
      <c r="E25" s="1256"/>
      <c r="F25" s="1256"/>
      <c r="G25" s="1256"/>
      <c r="H25" s="1256"/>
      <c r="I25" s="1"/>
      <c r="J25" s="1"/>
    </row>
    <row r="26" spans="2:10" ht="16.5" customHeight="1">
      <c r="B26" s="1256" t="s">
        <v>313</v>
      </c>
      <c r="C26" s="1256"/>
      <c r="D26" s="1256"/>
      <c r="E26" s="1256"/>
      <c r="F26" s="1256"/>
      <c r="G26" s="1256"/>
      <c r="H26" s="1256"/>
      <c r="I26" s="1"/>
      <c r="J26" s="1"/>
    </row>
    <row r="27" spans="2:10" ht="21.75" customHeight="1">
      <c r="B27" s="224" t="s">
        <v>310</v>
      </c>
      <c r="C27" s="224"/>
      <c r="D27"/>
      <c r="E27"/>
      <c r="F27"/>
      <c r="G27"/>
      <c r="H27"/>
      <c r="I27" s="1"/>
      <c r="J27" s="1"/>
    </row>
    <row r="28" spans="2:10" ht="21.75" customHeight="1">
      <c r="B28" s="224" t="s">
        <v>105</v>
      </c>
      <c r="C28" s="224"/>
      <c r="D28"/>
      <c r="E28"/>
      <c r="F28"/>
      <c r="G28"/>
      <c r="H28"/>
      <c r="I28" s="1"/>
      <c r="J28" s="1"/>
    </row>
    <row r="29" spans="2:10" ht="21.75" customHeight="1">
      <c r="B29" s="224" t="s">
        <v>106</v>
      </c>
      <c r="C29" s="224"/>
      <c r="D29"/>
      <c r="E29"/>
      <c r="F29"/>
      <c r="G29"/>
      <c r="H29"/>
      <c r="I29" s="1"/>
      <c r="J29" s="1"/>
    </row>
    <row r="30" spans="2:10" ht="21.75" customHeight="1">
      <c r="B30" s="224" t="s">
        <v>255</v>
      </c>
      <c r="C30" s="224"/>
      <c r="D30"/>
      <c r="E30"/>
      <c r="F30"/>
      <c r="G30"/>
      <c r="H30"/>
      <c r="I30" s="1"/>
      <c r="J30" s="1"/>
    </row>
    <row r="31" spans="2:10" ht="25.5" customHeight="1">
      <c r="B31" s="224" t="s">
        <v>113</v>
      </c>
      <c r="C31" s="224"/>
      <c r="D31"/>
      <c r="E31"/>
      <c r="F31"/>
      <c r="G31"/>
      <c r="H31"/>
      <c r="I31" s="1"/>
      <c r="J31" s="1"/>
    </row>
    <row r="32" spans="2:10" ht="21.75" customHeight="1">
      <c r="B32" s="224" t="s">
        <v>101</v>
      </c>
      <c r="C32" s="224"/>
      <c r="D32"/>
      <c r="E32"/>
      <c r="F32"/>
      <c r="G32"/>
      <c r="H32"/>
      <c r="I32" s="1"/>
      <c r="J32" s="1"/>
    </row>
    <row r="33" spans="2:10" ht="21.75" customHeight="1">
      <c r="B33" s="224" t="s">
        <v>102</v>
      </c>
      <c r="C33" s="224"/>
      <c r="D33"/>
      <c r="E33"/>
      <c r="F33"/>
      <c r="G33"/>
      <c r="H33"/>
      <c r="I33" s="1"/>
      <c r="J33" s="1"/>
    </row>
    <row r="34" spans="2:10" ht="21.75" customHeight="1">
      <c r="B34" s="224" t="s">
        <v>103</v>
      </c>
      <c r="C34" s="224"/>
      <c r="D34"/>
      <c r="E34"/>
      <c r="F34"/>
      <c r="G34"/>
      <c r="H34"/>
      <c r="I34" s="1"/>
      <c r="J34" s="1"/>
    </row>
    <row r="35" spans="2:10" ht="29.25" customHeight="1">
      <c r="B35" s="274" t="s">
        <v>315</v>
      </c>
      <c r="C35" s="224"/>
      <c r="D35"/>
      <c r="E35"/>
      <c r="F35"/>
      <c r="G35"/>
      <c r="H35"/>
      <c r="I35" s="1"/>
      <c r="J35" s="1"/>
    </row>
    <row r="36" spans="1:8" s="1076" customFormat="1" ht="42.75" customHeight="1">
      <c r="A36" s="1075"/>
      <c r="B36" s="1256" t="s">
        <v>316</v>
      </c>
      <c r="C36" s="1256"/>
      <c r="D36" s="1256"/>
      <c r="E36" s="1256"/>
      <c r="F36" s="1256"/>
      <c r="G36" s="1256"/>
      <c r="H36" s="1256"/>
    </row>
    <row r="37" spans="2:10" ht="37.5" customHeight="1">
      <c r="B37" s="1256" t="s">
        <v>317</v>
      </c>
      <c r="C37" s="1256"/>
      <c r="D37" s="1256"/>
      <c r="E37" s="1256"/>
      <c r="F37" s="1256"/>
      <c r="G37" s="1256"/>
      <c r="H37" s="1256"/>
      <c r="I37" s="1"/>
      <c r="J37" s="1"/>
    </row>
    <row r="38" spans="2:10" ht="58.5" customHeight="1">
      <c r="B38" s="1256" t="s">
        <v>318</v>
      </c>
      <c r="C38" s="1256"/>
      <c r="D38" s="1256"/>
      <c r="E38" s="1256"/>
      <c r="F38" s="1256"/>
      <c r="G38" s="1256"/>
      <c r="H38" s="1256"/>
      <c r="I38" s="1"/>
      <c r="J38" s="1"/>
    </row>
    <row r="39" spans="2:10" ht="26.25" customHeight="1">
      <c r="B39" s="224" t="s">
        <v>111</v>
      </c>
      <c r="C39" s="224"/>
      <c r="D39"/>
      <c r="E39"/>
      <c r="F39"/>
      <c r="G39"/>
      <c r="H39"/>
      <c r="I39" s="1"/>
      <c r="J39" s="1"/>
    </row>
    <row r="40" spans="2:10" ht="39.75" customHeight="1">
      <c r="B40" s="1252" t="s">
        <v>319</v>
      </c>
      <c r="C40" s="1253"/>
      <c r="D40" s="1253"/>
      <c r="E40" s="1253"/>
      <c r="F40" s="1253"/>
      <c r="G40" s="1253"/>
      <c r="H40" s="1253"/>
      <c r="I40" s="1"/>
      <c r="J40" s="1"/>
    </row>
    <row r="41" spans="2:10" ht="23.25" customHeight="1">
      <c r="B41" s="274" t="s">
        <v>144</v>
      </c>
      <c r="C41" s="224"/>
      <c r="D41"/>
      <c r="E41"/>
      <c r="F41"/>
      <c r="G41"/>
      <c r="H41"/>
      <c r="I41" s="1"/>
      <c r="J41" s="1"/>
    </row>
    <row r="42" spans="2:10" ht="33" customHeight="1">
      <c r="B42" s="1254" t="s">
        <v>242</v>
      </c>
      <c r="C42" s="1254"/>
      <c r="D42" s="1254"/>
      <c r="E42" s="1254"/>
      <c r="F42" s="1254"/>
      <c r="G42" s="1254"/>
      <c r="H42" s="1254"/>
      <c r="I42" s="1"/>
      <c r="J42" s="1"/>
    </row>
    <row r="43" spans="2:10" ht="35.25" customHeight="1">
      <c r="B43" s="1254" t="s">
        <v>244</v>
      </c>
      <c r="C43" s="1254"/>
      <c r="D43" s="1254"/>
      <c r="E43" s="1254"/>
      <c r="F43" s="1254"/>
      <c r="G43" s="1254"/>
      <c r="H43" s="1254"/>
      <c r="I43" s="1"/>
      <c r="J43" s="1"/>
    </row>
    <row r="44" spans="2:10" ht="53.25" customHeight="1">
      <c r="B44" s="1254" t="s">
        <v>243</v>
      </c>
      <c r="C44" s="1254"/>
      <c r="D44" s="1254"/>
      <c r="E44" s="1254"/>
      <c r="F44" s="1254"/>
      <c r="G44" s="1254"/>
      <c r="H44" s="1254"/>
      <c r="I44" s="1"/>
      <c r="J44" s="1"/>
    </row>
    <row r="45" spans="2:10" ht="22.5" customHeight="1">
      <c r="B45" s="1"/>
      <c r="C45" s="1"/>
      <c r="D45" s="1"/>
      <c r="E45" s="1"/>
      <c r="F45" s="1"/>
      <c r="G45" s="1"/>
      <c r="H45" s="1"/>
      <c r="I45" s="1"/>
      <c r="J45" s="1"/>
    </row>
    <row r="46" spans="2:10" ht="22.5" customHeight="1">
      <c r="B46" s="1"/>
      <c r="C46" s="1"/>
      <c r="D46" s="1"/>
      <c r="E46" s="1"/>
      <c r="F46" s="1"/>
      <c r="G46" s="1"/>
      <c r="H46" s="1"/>
      <c r="I46" s="1"/>
      <c r="J46" s="1"/>
    </row>
    <row r="47" spans="2:10" ht="22.5" customHeight="1">
      <c r="B47" s="1"/>
      <c r="C47" s="1"/>
      <c r="D47" s="1"/>
      <c r="E47" s="1"/>
      <c r="F47" s="1"/>
      <c r="G47" s="1"/>
      <c r="H47" s="1"/>
      <c r="I47" s="1"/>
      <c r="J47" s="1"/>
    </row>
    <row r="48" spans="2:16" ht="22.5" customHeight="1">
      <c r="B48" s="1"/>
      <c r="C48" s="1"/>
      <c r="D48" s="1"/>
      <c r="E48" s="1"/>
      <c r="F48" s="1"/>
      <c r="G48"/>
      <c r="H48"/>
      <c r="I48"/>
      <c r="J48"/>
      <c r="K48"/>
      <c r="L48"/>
      <c r="M48"/>
      <c r="N48"/>
      <c r="O48"/>
      <c r="P48"/>
    </row>
    <row r="49" spans="2:10" ht="22.5" customHeight="1">
      <c r="B49" s="1"/>
      <c r="C49" s="1"/>
      <c r="D49" s="1"/>
      <c r="E49" s="1"/>
      <c r="F49" s="1"/>
      <c r="G49" s="1"/>
      <c r="H49" s="1"/>
      <c r="I49" s="1"/>
      <c r="J49" s="1"/>
    </row>
    <row r="50" spans="2:10" ht="22.5" customHeight="1">
      <c r="B50" s="1"/>
      <c r="C50" s="1"/>
      <c r="D50" s="1"/>
      <c r="E50" s="1"/>
      <c r="F50" s="1"/>
      <c r="G50" s="1"/>
      <c r="H50" s="1"/>
      <c r="I50" s="1"/>
      <c r="J50" s="1"/>
    </row>
    <row r="51" spans="2:10" ht="22.5" customHeight="1">
      <c r="B51" s="1"/>
      <c r="C51" s="1"/>
      <c r="D51" s="1"/>
      <c r="E51" s="1"/>
      <c r="F51" s="1"/>
      <c r="G51" s="1"/>
      <c r="H51" s="1"/>
      <c r="I51" s="1"/>
      <c r="J51" s="1"/>
    </row>
    <row r="52" spans="2:10" ht="22.5" customHeight="1">
      <c r="B52"/>
      <c r="C52"/>
      <c r="D52"/>
      <c r="E52"/>
      <c r="F52"/>
      <c r="G52"/>
      <c r="H52"/>
      <c r="I52"/>
      <c r="J52"/>
    </row>
    <row r="53" spans="2:10" ht="22.5" customHeight="1">
      <c r="B53"/>
      <c r="C53"/>
      <c r="D53"/>
      <c r="E53"/>
      <c r="F53"/>
      <c r="G53"/>
      <c r="H53"/>
      <c r="I53"/>
      <c r="J53"/>
    </row>
    <row r="54" spans="2:10" ht="22.5" customHeight="1">
      <c r="B54"/>
      <c r="C54"/>
      <c r="D54"/>
      <c r="E54"/>
      <c r="F54"/>
      <c r="G54"/>
      <c r="H54"/>
      <c r="I54"/>
      <c r="J54"/>
    </row>
    <row r="55" spans="2:10" ht="22.5" customHeight="1">
      <c r="B55"/>
      <c r="C55"/>
      <c r="D55"/>
      <c r="E55"/>
      <c r="F55"/>
      <c r="G55"/>
      <c r="H55"/>
      <c r="I55"/>
      <c r="J55"/>
    </row>
    <row r="56" spans="2:10" ht="31.5" customHeight="1">
      <c r="B56"/>
      <c r="C56"/>
      <c r="D56"/>
      <c r="E56"/>
      <c r="F56"/>
      <c r="G56"/>
      <c r="H56"/>
      <c r="I56"/>
      <c r="J56"/>
    </row>
    <row r="57" spans="2:10" ht="22.5" customHeight="1">
      <c r="B57"/>
      <c r="C57"/>
      <c r="D57"/>
      <c r="E57"/>
      <c r="F57"/>
      <c r="G57"/>
      <c r="H57"/>
      <c r="I57"/>
      <c r="J57"/>
    </row>
    <row r="58" spans="2:10" ht="22.5" customHeight="1">
      <c r="B58"/>
      <c r="C58"/>
      <c r="D58"/>
      <c r="E58"/>
      <c r="F58"/>
      <c r="G58"/>
      <c r="H58"/>
      <c r="I58"/>
      <c r="J58"/>
    </row>
    <row r="59" spans="2:10" ht="27.75" customHeight="1">
      <c r="B59"/>
      <c r="C59"/>
      <c r="D59"/>
      <c r="E59"/>
      <c r="F59"/>
      <c r="G59"/>
      <c r="H59"/>
      <c r="I59"/>
      <c r="J59"/>
    </row>
    <row r="60" spans="2:10" ht="26.25" customHeight="1">
      <c r="B60"/>
      <c r="C60"/>
      <c r="D60"/>
      <c r="E60"/>
      <c r="F60"/>
      <c r="G60"/>
      <c r="H60"/>
      <c r="I60"/>
      <c r="J60"/>
    </row>
    <row r="61" spans="2:10" ht="24.75" customHeight="1">
      <c r="B61"/>
      <c r="C61"/>
      <c r="D61"/>
      <c r="E61"/>
      <c r="F61"/>
      <c r="G61"/>
      <c r="H61"/>
      <c r="I61"/>
      <c r="J61"/>
    </row>
    <row r="62" spans="2:10" ht="39" customHeight="1">
      <c r="B62"/>
      <c r="C62"/>
      <c r="D62"/>
      <c r="E62"/>
      <c r="F62"/>
      <c r="G62"/>
      <c r="H62"/>
      <c r="I62"/>
      <c r="J62"/>
    </row>
    <row r="63" spans="2:10" ht="38.25" customHeight="1">
      <c r="B63"/>
      <c r="C63"/>
      <c r="D63"/>
      <c r="E63"/>
      <c r="F63"/>
      <c r="G63"/>
      <c r="H63"/>
      <c r="I63"/>
      <c r="J63"/>
    </row>
    <row r="64" spans="2:10" ht="31.5" customHeight="1">
      <c r="B64"/>
      <c r="C64"/>
      <c r="D64"/>
      <c r="E64"/>
      <c r="F64"/>
      <c r="G64"/>
      <c r="H64"/>
      <c r="I64"/>
      <c r="J64"/>
    </row>
    <row r="65" spans="2:10" ht="22.5" customHeight="1">
      <c r="B65"/>
      <c r="C65"/>
      <c r="D65"/>
      <c r="E65"/>
      <c r="F65"/>
      <c r="G65"/>
      <c r="H65"/>
      <c r="I65"/>
      <c r="J65"/>
    </row>
    <row r="66" spans="2:10" ht="52.5" customHeight="1">
      <c r="B66"/>
      <c r="C66"/>
      <c r="D66"/>
      <c r="E66"/>
      <c r="F66"/>
      <c r="G66"/>
      <c r="H66"/>
      <c r="I66"/>
      <c r="J66"/>
    </row>
    <row r="67" spans="2:10" ht="22.5" customHeight="1">
      <c r="B67"/>
      <c r="C67"/>
      <c r="D67"/>
      <c r="E67"/>
      <c r="F67"/>
      <c r="G67"/>
      <c r="H67"/>
      <c r="I67"/>
      <c r="J67"/>
    </row>
    <row r="68" spans="2:10" ht="22.5" customHeight="1">
      <c r="B68"/>
      <c r="C68"/>
      <c r="D68"/>
      <c r="E68"/>
      <c r="F68"/>
      <c r="G68"/>
      <c r="H68"/>
      <c r="I68"/>
      <c r="J68"/>
    </row>
    <row r="69" spans="2:10" ht="22.5" customHeight="1">
      <c r="B69"/>
      <c r="C69"/>
      <c r="D69"/>
      <c r="E69"/>
      <c r="F69"/>
      <c r="G69"/>
      <c r="H69"/>
      <c r="I69"/>
      <c r="J69"/>
    </row>
    <row r="70" spans="2:10" ht="22.5" customHeight="1">
      <c r="B70"/>
      <c r="C70"/>
      <c r="D70"/>
      <c r="E70"/>
      <c r="F70"/>
      <c r="G70"/>
      <c r="H70"/>
      <c r="I70"/>
      <c r="J70"/>
    </row>
    <row r="71" spans="2:10" ht="22.5" customHeight="1">
      <c r="B71"/>
      <c r="C71"/>
      <c r="D71"/>
      <c r="E71"/>
      <c r="F71"/>
      <c r="G71"/>
      <c r="H71"/>
      <c r="I71"/>
      <c r="J71"/>
    </row>
    <row r="72" spans="2:10" ht="22.5" customHeight="1">
      <c r="B72" s="8"/>
      <c r="C72" s="9"/>
      <c r="D72" s="10"/>
      <c r="E72"/>
      <c r="F72"/>
      <c r="G72"/>
      <c r="H72"/>
      <c r="I72"/>
      <c r="J72"/>
    </row>
    <row r="73" spans="2:10" ht="31.5" customHeight="1">
      <c r="B73"/>
      <c r="C73"/>
      <c r="D73"/>
      <c r="E73"/>
      <c r="F73"/>
      <c r="G73"/>
      <c r="H73"/>
      <c r="I73"/>
      <c r="J73"/>
    </row>
    <row r="74" spans="2:10" ht="22.5" customHeight="1">
      <c r="B74"/>
      <c r="C74"/>
      <c r="D74"/>
      <c r="E74"/>
      <c r="F74"/>
      <c r="G74"/>
      <c r="H74"/>
      <c r="I74"/>
      <c r="J74"/>
    </row>
    <row r="75" spans="2:10" ht="22.5" customHeight="1">
      <c r="B75" s="1"/>
      <c r="C75"/>
      <c r="D75"/>
      <c r="E75"/>
      <c r="F75"/>
      <c r="G75"/>
      <c r="H75"/>
      <c r="I75"/>
      <c r="J75"/>
    </row>
    <row r="76" spans="2:10" ht="22.5" customHeight="1">
      <c r="B76" s="1"/>
      <c r="C76" s="1"/>
      <c r="D76"/>
      <c r="E76"/>
      <c r="F76"/>
      <c r="G76"/>
      <c r="H76"/>
      <c r="I76"/>
      <c r="J76"/>
    </row>
    <row r="77" spans="2:14" ht="22.5" customHeight="1">
      <c r="B77" s="5"/>
      <c r="C77" s="5"/>
      <c r="D77" s="5"/>
      <c r="E77" s="5"/>
      <c r="F77" s="5"/>
      <c r="G77" s="5"/>
      <c r="H77" s="5"/>
      <c r="I77" s="5"/>
      <c r="J77" s="4"/>
      <c r="K77" s="4"/>
      <c r="L77" s="4"/>
      <c r="M77" s="4"/>
      <c r="N77" s="4"/>
    </row>
    <row r="78" spans="2:14" ht="22.5" customHeight="1">
      <c r="B78" s="5"/>
      <c r="C78" s="5"/>
      <c r="D78" s="5"/>
      <c r="E78" s="5"/>
      <c r="F78" s="5"/>
      <c r="G78" s="6"/>
      <c r="H78" s="5"/>
      <c r="I78" s="6"/>
      <c r="J78" s="4"/>
      <c r="K78" s="4"/>
      <c r="L78" s="4"/>
      <c r="M78" s="4"/>
      <c r="N78" s="4"/>
    </row>
    <row r="79" spans="2:14" ht="22.5" customHeight="1">
      <c r="B79" s="5"/>
      <c r="C79" s="5"/>
      <c r="D79" s="5"/>
      <c r="E79" s="5"/>
      <c r="F79" s="5"/>
      <c r="G79" s="6"/>
      <c r="H79" s="5"/>
      <c r="I79" s="6"/>
      <c r="J79" s="4"/>
      <c r="K79" s="4"/>
      <c r="L79" s="4"/>
      <c r="M79" s="4"/>
      <c r="N79" s="4"/>
    </row>
    <row r="80" spans="2:14" ht="22.5" customHeight="1">
      <c r="B80" s="5"/>
      <c r="C80" s="5"/>
      <c r="D80" s="5"/>
      <c r="E80" s="5"/>
      <c r="F80" s="5"/>
      <c r="G80" s="6"/>
      <c r="H80" s="5"/>
      <c r="I80" s="6"/>
      <c r="J80" s="4"/>
      <c r="K80" s="4"/>
      <c r="L80" s="4"/>
      <c r="M80" s="4"/>
      <c r="N80" s="4"/>
    </row>
    <row r="81" spans="2:14" ht="22.5" customHeight="1">
      <c r="B81" s="5"/>
      <c r="C81" s="5"/>
      <c r="D81" s="5"/>
      <c r="E81" s="5"/>
      <c r="F81" s="5"/>
      <c r="G81" s="6"/>
      <c r="H81" s="5"/>
      <c r="I81" s="6"/>
      <c r="J81" s="4"/>
      <c r="K81" s="4"/>
      <c r="L81" s="4"/>
      <c r="M81" s="4"/>
      <c r="N81" s="4"/>
    </row>
    <row r="82" spans="2:14" ht="22.5" customHeight="1">
      <c r="B82" s="5"/>
      <c r="C82" s="5"/>
      <c r="D82" s="5"/>
      <c r="E82" s="5"/>
      <c r="F82" s="5"/>
      <c r="G82" s="6"/>
      <c r="H82" s="5"/>
      <c r="I82" s="6"/>
      <c r="J82" s="4"/>
      <c r="K82" s="4"/>
      <c r="L82" s="4"/>
      <c r="M82" s="4"/>
      <c r="N82" s="4"/>
    </row>
    <row r="83" spans="2:14" ht="22.5" customHeight="1">
      <c r="B83" s="5"/>
      <c r="C83" s="5"/>
      <c r="D83" s="5"/>
      <c r="E83" s="5"/>
      <c r="F83" s="5"/>
      <c r="G83" s="6"/>
      <c r="H83" s="5"/>
      <c r="I83" s="6"/>
      <c r="J83" s="4"/>
      <c r="K83" s="4"/>
      <c r="L83" s="4"/>
      <c r="M83" s="4"/>
      <c r="N83" s="4"/>
    </row>
    <row r="84" spans="2:14" ht="22.5" customHeight="1">
      <c r="B84" s="5"/>
      <c r="C84" s="5"/>
      <c r="D84" s="5"/>
      <c r="E84" s="5"/>
      <c r="F84" s="5"/>
      <c r="G84" s="6"/>
      <c r="H84" s="5"/>
      <c r="I84" s="6"/>
      <c r="J84" s="4"/>
      <c r="K84" s="4"/>
      <c r="L84" s="4"/>
      <c r="M84" s="4"/>
      <c r="N84" s="4"/>
    </row>
    <row r="85" spans="2:14" ht="22.5" customHeight="1">
      <c r="B85" s="5"/>
      <c r="C85" s="5"/>
      <c r="D85" s="5"/>
      <c r="E85" s="5"/>
      <c r="F85" s="5"/>
      <c r="G85" s="6"/>
      <c r="H85" s="5"/>
      <c r="I85" s="6"/>
      <c r="J85" s="4"/>
      <c r="K85" s="4"/>
      <c r="L85" s="4"/>
      <c r="M85" s="4"/>
      <c r="N85" s="4"/>
    </row>
    <row r="86" spans="2:14" ht="22.5" customHeight="1">
      <c r="B86" s="5"/>
      <c r="C86" s="5"/>
      <c r="D86" s="5"/>
      <c r="E86" s="5"/>
      <c r="F86" s="5"/>
      <c r="G86" s="6"/>
      <c r="H86" s="5"/>
      <c r="I86" s="6"/>
      <c r="J86" s="4"/>
      <c r="K86" s="4"/>
      <c r="L86" s="4"/>
      <c r="M86" s="4"/>
      <c r="N86" s="4"/>
    </row>
    <row r="87" spans="2:14" ht="22.5" customHeight="1">
      <c r="B87" s="5"/>
      <c r="C87" s="5"/>
      <c r="D87" s="5"/>
      <c r="E87" s="5"/>
      <c r="F87" s="5"/>
      <c r="G87" s="6"/>
      <c r="H87" s="5"/>
      <c r="I87" s="6"/>
      <c r="J87" s="4"/>
      <c r="K87" s="4"/>
      <c r="L87" s="4"/>
      <c r="M87" s="4"/>
      <c r="N87" s="4"/>
    </row>
    <row r="88" spans="2:14" ht="22.5" customHeight="1">
      <c r="B88" s="5"/>
      <c r="C88" s="7"/>
      <c r="D88" s="5"/>
      <c r="E88" s="5"/>
      <c r="F88" s="5"/>
      <c r="G88" s="6"/>
      <c r="H88" s="5"/>
      <c r="I88" s="6"/>
      <c r="J88" s="4"/>
      <c r="K88" s="4"/>
      <c r="L88" s="4"/>
      <c r="M88" s="4"/>
      <c r="N88" s="4"/>
    </row>
    <row r="89" spans="2:14" ht="22.5" customHeight="1">
      <c r="B89" s="5"/>
      <c r="C89" s="7"/>
      <c r="D89" s="5"/>
      <c r="E89" s="5"/>
      <c r="F89" s="5"/>
      <c r="G89" s="6"/>
      <c r="H89" s="5"/>
      <c r="I89" s="6"/>
      <c r="J89" s="4"/>
      <c r="K89" s="4"/>
      <c r="L89" s="4"/>
      <c r="M89" s="4"/>
      <c r="N89" s="4"/>
    </row>
    <row r="90" spans="2:14" ht="30.75" customHeight="1">
      <c r="B90" s="5"/>
      <c r="C90" s="7"/>
      <c r="D90" s="5"/>
      <c r="E90" s="5"/>
      <c r="F90" s="5"/>
      <c r="G90" s="6"/>
      <c r="H90" s="5"/>
      <c r="I90" s="6"/>
      <c r="J90" s="4"/>
      <c r="K90" s="4"/>
      <c r="L90" s="4"/>
      <c r="M90" s="4"/>
      <c r="N90" s="4"/>
    </row>
    <row r="91" spans="2:14" ht="22.5" customHeight="1">
      <c r="B91" s="32"/>
      <c r="C91" s="35"/>
      <c r="D91" s="36"/>
      <c r="E91" s="37"/>
      <c r="F91" s="38"/>
      <c r="G91" s="6"/>
      <c r="H91" s="5"/>
      <c r="I91" s="6"/>
      <c r="J91" s="4"/>
      <c r="K91" s="4"/>
      <c r="L91" s="4"/>
      <c r="M91" s="4"/>
      <c r="N91" s="4"/>
    </row>
    <row r="92" spans="2:14" ht="22.5" customHeight="1">
      <c r="B92" s="5"/>
      <c r="C92" s="7"/>
      <c r="D92" s="5"/>
      <c r="E92" s="5"/>
      <c r="F92" s="5"/>
      <c r="G92" s="6"/>
      <c r="H92" s="5"/>
      <c r="I92" s="6"/>
      <c r="J92" s="4"/>
      <c r="K92" s="4"/>
      <c r="L92" s="4"/>
      <c r="M92" s="4"/>
      <c r="N92" s="4"/>
    </row>
    <row r="93" spans="2:14" ht="22.5" customHeight="1">
      <c r="B93" s="5"/>
      <c r="C93" s="7"/>
      <c r="D93" s="5"/>
      <c r="E93" s="5"/>
      <c r="F93" s="5"/>
      <c r="G93" s="6"/>
      <c r="H93" s="5"/>
      <c r="I93" s="6"/>
      <c r="J93" s="4"/>
      <c r="K93" s="4"/>
      <c r="L93" s="4"/>
      <c r="M93" s="4"/>
      <c r="N93" s="4"/>
    </row>
    <row r="94" spans="2:14" ht="22.5" customHeight="1">
      <c r="B94" s="5"/>
      <c r="C94" s="7"/>
      <c r="D94" s="5"/>
      <c r="E94" s="5"/>
      <c r="F94" s="5"/>
      <c r="G94" s="6"/>
      <c r="H94" s="5"/>
      <c r="I94" s="6"/>
      <c r="J94" s="4"/>
      <c r="K94" s="4"/>
      <c r="L94" s="4"/>
      <c r="M94" s="4"/>
      <c r="N94" s="4"/>
    </row>
    <row r="95" spans="2:14" ht="22.5" customHeight="1">
      <c r="B95" s="5"/>
      <c r="C95" s="7"/>
      <c r="D95" s="5"/>
      <c r="E95" s="5"/>
      <c r="F95" s="5"/>
      <c r="G95" s="6"/>
      <c r="H95" s="5"/>
      <c r="I95" s="6"/>
      <c r="J95" s="4"/>
      <c r="K95" s="4"/>
      <c r="L95" s="4"/>
      <c r="M95" s="4"/>
      <c r="N95" s="4"/>
    </row>
    <row r="96" spans="2:14" ht="22.5" customHeight="1">
      <c r="B96" s="4"/>
      <c r="C96" s="4"/>
      <c r="D96" s="4"/>
      <c r="E96" s="4"/>
      <c r="F96" s="4"/>
      <c r="G96" s="4"/>
      <c r="H96" s="4"/>
      <c r="I96" s="4"/>
      <c r="J96" s="4"/>
      <c r="K96" s="4"/>
      <c r="L96" s="4"/>
      <c r="M96" s="4"/>
      <c r="N96" s="4"/>
    </row>
    <row r="97" spans="2:14" ht="22.5" customHeight="1">
      <c r="B97" s="4"/>
      <c r="C97" s="4"/>
      <c r="D97" s="4"/>
      <c r="E97" s="4"/>
      <c r="F97" s="4"/>
      <c r="G97" s="4"/>
      <c r="H97" s="4"/>
      <c r="I97" s="4"/>
      <c r="J97" s="4"/>
      <c r="K97" s="4"/>
      <c r="L97" s="4"/>
      <c r="M97" s="4"/>
      <c r="N97" s="4"/>
    </row>
    <row r="98" spans="2:10" ht="22.5" customHeight="1">
      <c r="B98" s="1"/>
      <c r="C98" s="1"/>
      <c r="D98" s="1"/>
      <c r="E98" s="1"/>
      <c r="F98" s="1"/>
      <c r="G98" s="1"/>
      <c r="H98" s="1"/>
      <c r="I98" s="1"/>
      <c r="J98" s="1"/>
    </row>
    <row r="99" spans="2:10" ht="22.5" customHeight="1">
      <c r="B99" s="1"/>
      <c r="C99" s="1"/>
      <c r="D99" s="1"/>
      <c r="E99" s="1"/>
      <c r="F99" s="1"/>
      <c r="G99" s="1"/>
      <c r="H99" s="1"/>
      <c r="I99" s="1"/>
      <c r="J99" s="1"/>
    </row>
    <row r="100" spans="2:10" ht="22.5" customHeight="1">
      <c r="B100" s="1"/>
      <c r="C100" s="1"/>
      <c r="D100" s="1"/>
      <c r="E100" s="1"/>
      <c r="F100" s="1"/>
      <c r="G100" s="1"/>
      <c r="H100" s="1"/>
      <c r="I100" s="1"/>
      <c r="J100" s="1"/>
    </row>
    <row r="101" spans="2:10" ht="22.5" customHeight="1">
      <c r="B101" s="1"/>
      <c r="C101" s="1"/>
      <c r="D101" s="1"/>
      <c r="E101" s="1"/>
      <c r="F101" s="1"/>
      <c r="G101" s="1"/>
      <c r="H101" s="1"/>
      <c r="I101" s="1"/>
      <c r="J101" s="1"/>
    </row>
    <row r="102" spans="2:10" ht="22.5" customHeight="1">
      <c r="B102" s="1"/>
      <c r="C102" s="1"/>
      <c r="D102" s="1"/>
      <c r="E102" s="1"/>
      <c r="F102" s="1"/>
      <c r="G102" s="1"/>
      <c r="H102" s="1"/>
      <c r="I102" s="1"/>
      <c r="J102" s="1"/>
    </row>
    <row r="103" spans="2:10" ht="30" customHeight="1">
      <c r="B103" s="1"/>
      <c r="C103" s="1"/>
      <c r="D103" s="1"/>
      <c r="E103" s="1"/>
      <c r="F103" s="1"/>
      <c r="G103" s="1"/>
      <c r="H103" s="1"/>
      <c r="I103" s="1"/>
      <c r="J103" s="1"/>
    </row>
    <row r="104" spans="2:10" ht="22.5" customHeight="1">
      <c r="B104" s="1"/>
      <c r="C104" s="1"/>
      <c r="D104" s="1"/>
      <c r="E104" s="1"/>
      <c r="F104" s="1"/>
      <c r="G104" s="1"/>
      <c r="H104" s="1"/>
      <c r="I104" s="1"/>
      <c r="J104" s="1"/>
    </row>
    <row r="105" spans="2:10" ht="37.5" customHeight="1">
      <c r="B105" s="1"/>
      <c r="C105" s="1"/>
      <c r="D105" s="1"/>
      <c r="E105" s="1"/>
      <c r="F105" s="1"/>
      <c r="G105" s="1"/>
      <c r="H105" s="1"/>
      <c r="I105" s="1"/>
      <c r="J105" s="1"/>
    </row>
    <row r="106" spans="2:10" ht="22.5" customHeight="1">
      <c r="B106" s="1"/>
      <c r="C106" s="1"/>
      <c r="D106" s="1"/>
      <c r="E106" s="1"/>
      <c r="F106" s="1"/>
      <c r="G106" s="1"/>
      <c r="H106" s="1"/>
      <c r="I106" s="1"/>
      <c r="J106" s="1"/>
    </row>
    <row r="107" spans="2:10" ht="22.5" customHeight="1">
      <c r="B107" s="1"/>
      <c r="C107" s="1"/>
      <c r="D107" s="1"/>
      <c r="E107" s="1"/>
      <c r="F107" s="1"/>
      <c r="G107" s="1"/>
      <c r="H107" s="1"/>
      <c r="I107" s="1"/>
      <c r="J107" s="1"/>
    </row>
    <row r="108" spans="2:10" ht="27" customHeight="1">
      <c r="B108" s="1"/>
      <c r="C108" s="1"/>
      <c r="D108" s="1"/>
      <c r="E108" s="1"/>
      <c r="F108" s="1"/>
      <c r="G108" s="1"/>
      <c r="H108" s="1"/>
      <c r="I108" s="1"/>
      <c r="J108" s="1"/>
    </row>
    <row r="109" spans="2:10" ht="27.75" customHeight="1">
      <c r="B109" s="1"/>
      <c r="C109" s="1"/>
      <c r="D109" s="1"/>
      <c r="E109" s="1"/>
      <c r="F109" s="1"/>
      <c r="G109" s="1"/>
      <c r="H109" s="1"/>
      <c r="I109" s="1"/>
      <c r="J109" s="1"/>
    </row>
    <row r="110" spans="2:10" ht="27.75" customHeight="1">
      <c r="B110" s="1"/>
      <c r="C110" s="1"/>
      <c r="D110" s="1"/>
      <c r="E110" s="1"/>
      <c r="F110" s="1"/>
      <c r="G110" s="1"/>
      <c r="H110" s="1"/>
      <c r="I110" s="1"/>
      <c r="J110" s="1"/>
    </row>
    <row r="111" spans="2:10" ht="36" customHeight="1">
      <c r="B111" s="1"/>
      <c r="C111" s="1"/>
      <c r="D111" s="1"/>
      <c r="E111" s="1"/>
      <c r="F111" s="1"/>
      <c r="G111" s="1"/>
      <c r="H111" s="1"/>
      <c r="I111" s="1"/>
      <c r="J111" s="1"/>
    </row>
    <row r="112" spans="2:10" ht="22.5" customHeight="1">
      <c r="B112" s="1"/>
      <c r="C112" s="1"/>
      <c r="D112" s="1"/>
      <c r="E112" s="1"/>
      <c r="F112" s="1"/>
      <c r="G112" s="1"/>
      <c r="H112" s="1"/>
      <c r="I112" s="1"/>
      <c r="J112" s="1"/>
    </row>
    <row r="113" spans="2:10" ht="22.5" customHeight="1">
      <c r="B113" s="1"/>
      <c r="C113" s="1"/>
      <c r="D113" s="1"/>
      <c r="E113" s="1"/>
      <c r="F113" s="1"/>
      <c r="G113" s="1"/>
      <c r="H113" s="1"/>
      <c r="I113" s="1"/>
      <c r="J113" s="1"/>
    </row>
    <row r="114" spans="2:10" ht="12.75">
      <c r="B114" s="1"/>
      <c r="C114" s="1"/>
      <c r="D114" s="1"/>
      <c r="E114" s="1"/>
      <c r="F114" s="1"/>
      <c r="G114" s="1"/>
      <c r="H114" s="1"/>
      <c r="I114" s="1"/>
      <c r="J114" s="1"/>
    </row>
    <row r="115" spans="2:10" ht="12.75">
      <c r="B115" s="1"/>
      <c r="C115" s="1"/>
      <c r="D115" s="1"/>
      <c r="E115" s="1"/>
      <c r="F115" s="1"/>
      <c r="G115" s="1"/>
      <c r="H115" s="1"/>
      <c r="I115" s="1"/>
      <c r="J115" s="1"/>
    </row>
    <row r="116" spans="2:10" ht="12.75">
      <c r="B116" s="1"/>
      <c r="C116" s="1"/>
      <c r="D116" s="1"/>
      <c r="E116" s="1"/>
      <c r="F116" s="1"/>
      <c r="G116" s="1"/>
      <c r="H116" s="1"/>
      <c r="I116" s="1"/>
      <c r="J116" s="1"/>
    </row>
    <row r="117" spans="2:10" ht="12.75">
      <c r="B117" s="1"/>
      <c r="C117" s="1"/>
      <c r="D117" s="1"/>
      <c r="E117" s="1"/>
      <c r="F117" s="1"/>
      <c r="G117" s="1"/>
      <c r="H117" s="1"/>
      <c r="I117" s="1"/>
      <c r="J117" s="1"/>
    </row>
    <row r="118" spans="2:10" ht="12.75">
      <c r="B118" s="1"/>
      <c r="C118" s="1"/>
      <c r="D118" s="1"/>
      <c r="E118" s="1"/>
      <c r="F118" s="1"/>
      <c r="G118" s="1"/>
      <c r="H118" s="1"/>
      <c r="I118" s="1"/>
      <c r="J118" s="1"/>
    </row>
    <row r="119" spans="2:10" ht="12.75">
      <c r="B119" s="1"/>
      <c r="C119" s="1"/>
      <c r="D119" s="1"/>
      <c r="E119" s="1"/>
      <c r="F119" s="1"/>
      <c r="G119" s="1"/>
      <c r="H119" s="1"/>
      <c r="I119" s="1"/>
      <c r="J119" s="1"/>
    </row>
    <row r="120" spans="2:10" ht="12.75">
      <c r="B120" s="1"/>
      <c r="C120" s="1"/>
      <c r="D120" s="1"/>
      <c r="E120" s="1"/>
      <c r="F120" s="1"/>
      <c r="G120" s="1"/>
      <c r="H120" s="1"/>
      <c r="I120" s="1"/>
      <c r="J120" s="1"/>
    </row>
  </sheetData>
  <sheetProtection sheet="1"/>
  <mergeCells count="16">
    <mergeCell ref="B44:H44"/>
    <mergeCell ref="B38:H38"/>
    <mergeCell ref="B25:H25"/>
    <mergeCell ref="B19:H19"/>
    <mergeCell ref="B42:H42"/>
    <mergeCell ref="B37:H37"/>
    <mergeCell ref="B40:H40"/>
    <mergeCell ref="B26:H26"/>
    <mergeCell ref="B36:H36"/>
    <mergeCell ref="B2:F2"/>
    <mergeCell ref="G2:H2"/>
    <mergeCell ref="B6:H6"/>
    <mergeCell ref="B17:H17"/>
    <mergeCell ref="B18:H18"/>
    <mergeCell ref="B43:H43"/>
    <mergeCell ref="B20:H20"/>
  </mergeCells>
  <printOptions horizontalCentered="1"/>
  <pageMargins left="0.3937007874015748" right="0.3937007874015748" top="0.6299212598425197" bottom="0.3937007874015748" header="0.35433070866141736" footer="0.1968503937007874"/>
  <pageSetup fitToHeight="1" fitToWidth="1" horizontalDpi="600" verticalDpi="600" orientation="portrait" paperSize="9" scale="61" r:id="rId2"/>
  <headerFooter alignWithMargins="0">
    <oddFooter>&amp;LLEL, Abt.2, V. Segger&amp;C&amp;F&amp;A&amp;R&amp;D</oddFooter>
  </headerFooter>
  <rowBreaks count="1" manualBreakCount="1">
    <brk id="50" max="65535"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B2:C53"/>
  <sheetViews>
    <sheetView zoomScalePageLayoutView="0" workbookViewId="0" topLeftCell="A1">
      <selection activeCell="H5" sqref="H5"/>
    </sheetView>
  </sheetViews>
  <sheetFormatPr defaultColWidth="11.421875" defaultRowHeight="12.75"/>
  <cols>
    <col min="1" max="1" width="0.85546875" style="0" customWidth="1"/>
    <col min="2" max="2" width="43.7109375" style="0" customWidth="1"/>
    <col min="3" max="3" width="43.57421875" style="0" customWidth="1"/>
  </cols>
  <sheetData>
    <row r="2" spans="2:3" ht="53.25" customHeight="1">
      <c r="B2" s="1259" t="s">
        <v>305</v>
      </c>
      <c r="C2" s="1259"/>
    </row>
    <row r="3" ht="25.5" customHeight="1"/>
    <row r="19" ht="195" customHeight="1"/>
    <row r="20" s="983" customFormat="1" ht="65.25" customHeight="1"/>
    <row r="21" ht="108" customHeight="1"/>
    <row r="23" ht="58.5" customHeight="1"/>
    <row r="53" ht="42" customHeight="1">
      <c r="B53" s="280" t="s">
        <v>346</v>
      </c>
    </row>
  </sheetData>
  <sheetProtection sheet="1" objects="1" scenarios="1"/>
  <mergeCells count="1">
    <mergeCell ref="B2:C2"/>
  </mergeCells>
  <printOptions/>
  <pageMargins left="0.7086614173228347" right="0.5118110236220472" top="0.5905511811023623" bottom="0.5905511811023623" header="0.31496062992125984" footer="0.31496062992125984"/>
  <pageSetup horizontalDpi="600" verticalDpi="600" orientation="portrait" paperSize="9" r:id="rId2"/>
  <headerFooter>
    <oddFooter>&amp;LLEL, Abt. 2, Se&amp;C&amp;F&amp;A&amp;R&amp;D</oddFooter>
  </headerFooter>
  <rowBreaks count="2" manualBreakCount="2">
    <brk id="19" max="255" man="1"/>
    <brk id="52" max="255" man="1"/>
  </rowBreaks>
  <drawing r:id="rId1"/>
</worksheet>
</file>

<file path=xl/worksheets/sheet3.xml><?xml version="1.0" encoding="utf-8"?>
<worksheet xmlns="http://schemas.openxmlformats.org/spreadsheetml/2006/main" xmlns:r="http://schemas.openxmlformats.org/officeDocument/2006/relationships">
  <dimension ref="A1:AB364"/>
  <sheetViews>
    <sheetView showGridLines="0" zoomScale="94" zoomScaleNormal="94" zoomScalePageLayoutView="0" workbookViewId="0" topLeftCell="B1">
      <selection activeCell="O10" sqref="O10"/>
    </sheetView>
  </sheetViews>
  <sheetFormatPr defaultColWidth="11.421875" defaultRowHeight="12.75"/>
  <cols>
    <col min="1" max="1" width="1.421875" style="1" customWidth="1"/>
    <col min="2" max="2" width="28.57421875" style="15" customWidth="1"/>
    <col min="3" max="3" width="22.28125" style="15" customWidth="1"/>
    <col min="4" max="4" width="18.421875" style="15" customWidth="1"/>
    <col min="5" max="5" width="9.421875" style="15" customWidth="1"/>
    <col min="6" max="6" width="29.57421875" style="15" customWidth="1"/>
    <col min="7" max="7" width="22.421875" style="15" customWidth="1"/>
    <col min="8" max="8" width="12.7109375" style="15" customWidth="1"/>
    <col min="9" max="9" width="8.57421875" style="15" customWidth="1"/>
    <col min="10" max="10" width="9.7109375" style="15" customWidth="1"/>
    <col min="11" max="11" width="8.421875" style="15" customWidth="1"/>
    <col min="12" max="12" width="4.28125" style="1" customWidth="1"/>
    <col min="13" max="13" width="26.57421875" style="1" customWidth="1"/>
    <col min="14" max="14" width="9.7109375" style="1" customWidth="1"/>
    <col min="15" max="15" width="11.421875" style="1" customWidth="1"/>
    <col min="16" max="16" width="9.8515625" style="1" customWidth="1"/>
    <col min="17" max="16384" width="11.421875" style="1" customWidth="1"/>
  </cols>
  <sheetData>
    <row r="1" spans="2:14" ht="2.25" customHeight="1" thickBot="1">
      <c r="B1" s="14"/>
      <c r="C1" s="14"/>
      <c r="D1" s="14"/>
      <c r="E1" s="14"/>
      <c r="F1" s="14"/>
      <c r="G1" s="14"/>
      <c r="H1" s="14"/>
      <c r="I1" s="14"/>
      <c r="J1" s="14"/>
      <c r="K1" s="14"/>
      <c r="L1" s="3"/>
      <c r="M1" s="3"/>
      <c r="N1" s="3"/>
    </row>
    <row r="2" spans="2:14" ht="33.75" customHeight="1" thickBot="1">
      <c r="B2" s="1282" t="s">
        <v>175</v>
      </c>
      <c r="C2" s="1283"/>
      <c r="D2" s="1283"/>
      <c r="E2" s="1283"/>
      <c r="F2" s="1283"/>
      <c r="G2" s="1283"/>
      <c r="H2" s="1286" t="s">
        <v>366</v>
      </c>
      <c r="I2" s="1287"/>
      <c r="J2" s="14"/>
      <c r="K2" s="14"/>
      <c r="L2" s="3"/>
      <c r="M2" s="3"/>
      <c r="N2" s="3"/>
    </row>
    <row r="3" spans="2:14" ht="9" customHeight="1" thickBot="1">
      <c r="B3" s="730"/>
      <c r="C3" s="730"/>
      <c r="D3" s="730"/>
      <c r="E3" s="730"/>
      <c r="F3" s="730"/>
      <c r="G3" s="730"/>
      <c r="H3" s="730"/>
      <c r="I3" s="730"/>
      <c r="J3" s="14"/>
      <c r="K3" s="14"/>
      <c r="L3" s="3"/>
      <c r="M3" s="3"/>
      <c r="N3" s="3"/>
    </row>
    <row r="4" spans="2:14" ht="22.5" customHeight="1" thickBot="1">
      <c r="B4" s="731" t="s">
        <v>260</v>
      </c>
      <c r="C4" s="900" t="s">
        <v>173</v>
      </c>
      <c r="E4" s="767" t="s">
        <v>261</v>
      </c>
      <c r="F4" s="765" t="s">
        <v>363</v>
      </c>
      <c r="G4" s="768" t="s">
        <v>168</v>
      </c>
      <c r="H4" s="1298">
        <v>42647</v>
      </c>
      <c r="I4" s="1298"/>
      <c r="L4" s="767" t="s">
        <v>2</v>
      </c>
      <c r="M4" s="1143">
        <v>42383</v>
      </c>
      <c r="N4" s="3"/>
    </row>
    <row r="5" spans="2:14" ht="9" customHeight="1">
      <c r="B5" s="732"/>
      <c r="C5" s="732"/>
      <c r="D5" s="732"/>
      <c r="E5" s="732"/>
      <c r="F5" s="732"/>
      <c r="G5" s="732"/>
      <c r="H5" s="732"/>
      <c r="I5" s="732"/>
      <c r="J5" s="14"/>
      <c r="K5" s="14"/>
      <c r="L5" s="3"/>
      <c r="M5" s="3"/>
      <c r="N5" s="3"/>
    </row>
    <row r="6" spans="2:14" ht="20.25" customHeight="1">
      <c r="B6" s="1054"/>
      <c r="C6" s="1055" t="s">
        <v>300</v>
      </c>
      <c r="D6" s="1056" t="s">
        <v>246</v>
      </c>
      <c r="E6" s="1057"/>
      <c r="F6" s="1207" t="s">
        <v>348</v>
      </c>
      <c r="G6" s="1049"/>
      <c r="H6" s="1050" t="s">
        <v>262</v>
      </c>
      <c r="I6" s="1051" t="s">
        <v>264</v>
      </c>
      <c r="K6" s="14"/>
      <c r="L6"/>
      <c r="M6"/>
      <c r="N6"/>
    </row>
    <row r="7" spans="2:14" ht="20.25" customHeight="1">
      <c r="B7" s="772" t="s">
        <v>0</v>
      </c>
      <c r="C7" s="769"/>
      <c r="D7" s="1056" t="s">
        <v>235</v>
      </c>
      <c r="E7" s="1058" t="str">
        <f>IF(E6="","X","")</f>
        <v>X</v>
      </c>
      <c r="F7" s="1052"/>
      <c r="G7" s="1049"/>
      <c r="H7" s="1050" t="s">
        <v>263</v>
      </c>
      <c r="I7" s="1053">
        <f>IF(I6="","X","")</f>
      </c>
      <c r="J7" s="1002" t="s">
        <v>3</v>
      </c>
      <c r="K7" s="14"/>
      <c r="L7"/>
      <c r="M7"/>
      <c r="N7"/>
    </row>
    <row r="8" spans="3:14" ht="6" customHeight="1" thickBot="1">
      <c r="C8" s="732"/>
      <c r="D8" s="732"/>
      <c r="E8" s="732"/>
      <c r="F8" s="732"/>
      <c r="G8" s="732"/>
      <c r="H8" s="732"/>
      <c r="I8" s="732"/>
      <c r="J8" s="1003"/>
      <c r="K8" s="20"/>
      <c r="L8" s="3"/>
      <c r="M8"/>
      <c r="N8" s="3"/>
    </row>
    <row r="9" spans="2:14" ht="19.5" customHeight="1">
      <c r="B9" s="733" t="s">
        <v>4</v>
      </c>
      <c r="C9" s="734"/>
      <c r="D9" s="903">
        <v>0.107</v>
      </c>
      <c r="E9" s="938">
        <f>IF($I$7="",D9,"")</f>
        <v>0.107</v>
      </c>
      <c r="F9" s="735" t="s">
        <v>288</v>
      </c>
      <c r="G9" s="736"/>
      <c r="H9" s="763">
        <v>3</v>
      </c>
      <c r="I9" s="737" t="s">
        <v>5</v>
      </c>
      <c r="J9" s="1004">
        <f>IF($I$7="",1+E9,1)</f>
        <v>1.107</v>
      </c>
      <c r="K9" s="19"/>
      <c r="L9"/>
      <c r="M9"/>
      <c r="N9"/>
    </row>
    <row r="10" spans="2:14" ht="19.5" customHeight="1">
      <c r="B10" s="757" t="s">
        <v>234</v>
      </c>
      <c r="C10" s="758"/>
      <c r="D10" s="904">
        <v>0.19</v>
      </c>
      <c r="E10" s="939">
        <f>IF($I$7="",D10,"")</f>
        <v>0.19</v>
      </c>
      <c r="F10" s="759" t="s">
        <v>323</v>
      </c>
      <c r="G10" s="760"/>
      <c r="H10" s="762"/>
      <c r="I10" s="761" t="s">
        <v>5</v>
      </c>
      <c r="J10" s="1004">
        <f>IF($I$7="",1+E10,1)</f>
        <v>1.19</v>
      </c>
      <c r="K10" s="19"/>
      <c r="L10"/>
      <c r="M10"/>
      <c r="N10"/>
    </row>
    <row r="11" spans="2:14" ht="19.5" customHeight="1" thickBot="1">
      <c r="B11" s="738" t="s">
        <v>6</v>
      </c>
      <c r="C11" s="739"/>
      <c r="D11" s="905">
        <v>0.07</v>
      </c>
      <c r="E11" s="909">
        <f>IF($I$7="",D11,"")</f>
        <v>0.07</v>
      </c>
      <c r="F11" s="741" t="s">
        <v>7</v>
      </c>
      <c r="G11" s="742"/>
      <c r="H11" s="418">
        <v>15.75</v>
      </c>
      <c r="I11" s="740" t="s">
        <v>117</v>
      </c>
      <c r="J11" s="1005">
        <f>IF($I$7="",1+E11,1)</f>
        <v>1.07</v>
      </c>
      <c r="K11" s="19"/>
      <c r="L11"/>
      <c r="M11"/>
      <c r="N11"/>
    </row>
    <row r="12" spans="2:14" ht="12" customHeight="1" thickBot="1">
      <c r="B12" s="18"/>
      <c r="C12" s="18"/>
      <c r="D12" s="18"/>
      <c r="E12" s="18"/>
      <c r="F12" s="18"/>
      <c r="G12" s="18"/>
      <c r="H12" s="18"/>
      <c r="I12" s="18"/>
      <c r="J12"/>
      <c r="K12" s="14"/>
      <c r="L12"/>
      <c r="M12"/>
      <c r="N12"/>
    </row>
    <row r="13" spans="2:18" ht="25.5" customHeight="1" thickBot="1">
      <c r="B13" s="1295" t="s">
        <v>236</v>
      </c>
      <c r="C13" s="1296"/>
      <c r="D13" s="1296"/>
      <c r="E13" s="1296"/>
      <c r="F13" s="1296"/>
      <c r="G13" s="1296"/>
      <c r="H13" s="1296"/>
      <c r="I13" s="1297"/>
      <c r="J13" s="18"/>
      <c r="K13" s="22"/>
      <c r="L13" s="743"/>
      <c r="M13"/>
      <c r="N13"/>
      <c r="O13"/>
      <c r="P13"/>
      <c r="Q13"/>
      <c r="R13"/>
    </row>
    <row r="14" spans="2:18" ht="20.25" customHeight="1">
      <c r="B14" s="1040" t="s">
        <v>297</v>
      </c>
      <c r="C14" s="419"/>
      <c r="D14" s="1001">
        <v>54</v>
      </c>
      <c r="E14" s="425" t="s">
        <v>114</v>
      </c>
      <c r="F14" s="1067" t="s">
        <v>303</v>
      </c>
      <c r="G14" s="845"/>
      <c r="H14" s="846">
        <v>1.8</v>
      </c>
      <c r="I14" s="427"/>
      <c r="J14" s="18"/>
      <c r="K14" s="22"/>
      <c r="L14"/>
      <c r="M14"/>
      <c r="N14"/>
      <c r="O14"/>
      <c r="P14"/>
      <c r="Q14"/>
      <c r="R14"/>
    </row>
    <row r="15" spans="2:18" ht="20.25" customHeight="1">
      <c r="B15" s="420" t="s">
        <v>153</v>
      </c>
      <c r="C15" s="421"/>
      <c r="D15" s="409">
        <v>25</v>
      </c>
      <c r="E15" s="425" t="s">
        <v>10</v>
      </c>
      <c r="F15" s="420" t="s">
        <v>229</v>
      </c>
      <c r="G15" s="421"/>
      <c r="H15" s="750">
        <f>(D16-7)*H14</f>
        <v>41.4</v>
      </c>
      <c r="I15" s="425" t="s">
        <v>10</v>
      </c>
      <c r="J15" s="18"/>
      <c r="K15" s="22"/>
      <c r="L15"/>
      <c r="M15"/>
      <c r="N15"/>
      <c r="O15"/>
      <c r="P15"/>
      <c r="Q15"/>
      <c r="R15"/>
    </row>
    <row r="16" spans="2:18" ht="20.25" customHeight="1">
      <c r="B16" s="420" t="s">
        <v>12</v>
      </c>
      <c r="C16" s="421"/>
      <c r="D16" s="410">
        <v>30</v>
      </c>
      <c r="E16" s="425" t="s">
        <v>10</v>
      </c>
      <c r="F16" s="422" t="s">
        <v>223</v>
      </c>
      <c r="G16" s="423"/>
      <c r="H16" s="413">
        <v>0.5</v>
      </c>
      <c r="I16" s="426" t="s">
        <v>117</v>
      </c>
      <c r="J16" s="25"/>
      <c r="K16" s="721"/>
      <c r="L16" s="722"/>
      <c r="M16" s="722"/>
      <c r="N16" s="723" t="s">
        <v>140</v>
      </c>
      <c r="O16" s="723" t="s">
        <v>196</v>
      </c>
      <c r="P16"/>
      <c r="Q16"/>
      <c r="R16"/>
    </row>
    <row r="17" spans="2:18" ht="20.25" customHeight="1">
      <c r="B17" s="420" t="s">
        <v>152</v>
      </c>
      <c r="C17" s="421"/>
      <c r="D17" s="408">
        <v>1</v>
      </c>
      <c r="E17" s="425" t="s">
        <v>119</v>
      </c>
      <c r="F17" s="420" t="s">
        <v>8</v>
      </c>
      <c r="G17" s="421"/>
      <c r="H17" s="411">
        <v>6</v>
      </c>
      <c r="I17" s="425" t="s">
        <v>9</v>
      </c>
      <c r="J17" s="25"/>
      <c r="K17" s="18" t="str">
        <f>B48</f>
        <v>Bestandsergänzung</v>
      </c>
      <c r="L17" s="260"/>
      <c r="M17" s="260"/>
      <c r="N17" s="680">
        <f>G48</f>
        <v>141.24</v>
      </c>
      <c r="O17" s="685">
        <f aca="true" t="shared" si="0" ref="O17:O26">N17/$G$37</f>
        <v>5.6496</v>
      </c>
      <c r="P17" s="1414">
        <f>N17/$N$36</f>
        <v>0.0714937218795948</v>
      </c>
      <c r="Q17" s="1414"/>
      <c r="R17"/>
    </row>
    <row r="18" spans="2:18" ht="20.25" customHeight="1">
      <c r="B18" s="420" t="s">
        <v>132</v>
      </c>
      <c r="C18" s="421"/>
      <c r="D18" s="412">
        <v>2.5</v>
      </c>
      <c r="E18" s="425" t="s">
        <v>120</v>
      </c>
      <c r="F18" s="422" t="s">
        <v>284</v>
      </c>
      <c r="G18" s="935"/>
      <c r="H18" s="413">
        <v>7</v>
      </c>
      <c r="I18" s="426" t="s">
        <v>117</v>
      </c>
      <c r="J18" s="25"/>
      <c r="K18" s="18" t="s">
        <v>187</v>
      </c>
      <c r="L18" s="260"/>
      <c r="M18" s="260"/>
      <c r="N18" s="680">
        <f>G47+G46</f>
        <v>768.5809999999999</v>
      </c>
      <c r="O18" s="685">
        <f t="shared" si="0"/>
        <v>30.743239999999997</v>
      </c>
      <c r="P18" s="1414">
        <f aca="true" t="shared" si="1" ref="P18:P36">N18/$N$36</f>
        <v>0.3890450032281283</v>
      </c>
      <c r="Q18" s="1414"/>
      <c r="R18"/>
    </row>
    <row r="19" spans="2:18" ht="20.25" customHeight="1">
      <c r="B19" s="1073" t="s">
        <v>308</v>
      </c>
      <c r="C19" s="423"/>
      <c r="D19" s="413">
        <v>3</v>
      </c>
      <c r="E19" s="426" t="s">
        <v>120</v>
      </c>
      <c r="F19" s="420" t="s">
        <v>266</v>
      </c>
      <c r="G19" s="1011"/>
      <c r="H19" s="1014">
        <f>SUM(H21:H30)</f>
        <v>357.658956</v>
      </c>
      <c r="I19" s="425" t="s">
        <v>114</v>
      </c>
      <c r="J19" s="25"/>
      <c r="K19" s="18" t="str">
        <f aca="true" t="shared" si="2" ref="K19:K24">F21</f>
        <v>Tierarzt, Medikam. (inkl. Myko)</v>
      </c>
      <c r="L19" s="260"/>
      <c r="M19" s="260"/>
      <c r="N19" s="680">
        <f aca="true" t="shared" si="3" ref="N19:N24">G21</f>
        <v>140</v>
      </c>
      <c r="O19" s="685">
        <f t="shared" si="0"/>
        <v>5.6</v>
      </c>
      <c r="P19" s="1414">
        <f t="shared" si="1"/>
        <v>0.0708660511409181</v>
      </c>
      <c r="Q19" s="1414"/>
      <c r="R19"/>
    </row>
    <row r="20" spans="2:18" ht="20.25" customHeight="1">
      <c r="B20" s="420" t="s">
        <v>17</v>
      </c>
      <c r="C20" s="421"/>
      <c r="D20" s="414">
        <v>170</v>
      </c>
      <c r="E20" s="425" t="s">
        <v>10</v>
      </c>
      <c r="F20" s="420" t="s">
        <v>13</v>
      </c>
      <c r="G20" s="1010" t="s">
        <v>267</v>
      </c>
      <c r="H20" s="1012"/>
      <c r="I20" s="1013"/>
      <c r="J20" s="14"/>
      <c r="K20" s="18" t="str">
        <f t="shared" si="2"/>
        <v>Verluste, Versicherungen</v>
      </c>
      <c r="L20" s="260"/>
      <c r="M20" s="260"/>
      <c r="N20" s="680">
        <f t="shared" si="3"/>
        <v>15</v>
      </c>
      <c r="O20" s="685">
        <f t="shared" si="0"/>
        <v>0.6</v>
      </c>
      <c r="P20" s="1414">
        <f t="shared" si="1"/>
        <v>0.007592791193669795</v>
      </c>
      <c r="Q20" s="1414"/>
      <c r="R20"/>
    </row>
    <row r="21" spans="2:18" ht="20.25" customHeight="1">
      <c r="B21" s="420" t="s">
        <v>19</v>
      </c>
      <c r="C21" s="421"/>
      <c r="D21" s="408">
        <v>1.3</v>
      </c>
      <c r="E21" s="425" t="s">
        <v>119</v>
      </c>
      <c r="F21" s="421" t="s">
        <v>179</v>
      </c>
      <c r="G21" s="408">
        <v>140</v>
      </c>
      <c r="H21" s="930">
        <f>IF($I$7="",G21,G21/J21)</f>
        <v>140</v>
      </c>
      <c r="I21" s="425" t="s">
        <v>114</v>
      </c>
      <c r="J21" s="931">
        <f>1+$D$10</f>
        <v>1.19</v>
      </c>
      <c r="K21" s="18" t="str">
        <f t="shared" si="2"/>
        <v>Besamung</v>
      </c>
      <c r="L21" s="260"/>
      <c r="M21" s="260"/>
      <c r="N21" s="680">
        <f t="shared" si="3"/>
        <v>30</v>
      </c>
      <c r="O21" s="685">
        <f t="shared" si="0"/>
        <v>1.2</v>
      </c>
      <c r="P21" s="1414">
        <f t="shared" si="1"/>
        <v>0.01518558238733959</v>
      </c>
      <c r="Q21" s="1414"/>
      <c r="R21"/>
    </row>
    <row r="22" spans="2:18" ht="20.25" customHeight="1">
      <c r="B22" s="420" t="s">
        <v>21</v>
      </c>
      <c r="C22" s="421"/>
      <c r="D22" s="414">
        <v>330</v>
      </c>
      <c r="E22" s="425" t="s">
        <v>114</v>
      </c>
      <c r="F22" s="421" t="s">
        <v>15</v>
      </c>
      <c r="G22" s="408">
        <v>15</v>
      </c>
      <c r="H22" s="930">
        <f aca="true" t="shared" si="4" ref="H22:H29">IF($I$7="",G22,G22/J22)</f>
        <v>15</v>
      </c>
      <c r="I22" s="425" t="s">
        <v>114</v>
      </c>
      <c r="J22" s="931">
        <f>1+$D$9</f>
        <v>1.107</v>
      </c>
      <c r="K22" s="18" t="str">
        <f t="shared" si="2"/>
        <v>Energie, Wasser</v>
      </c>
      <c r="L22" s="260"/>
      <c r="M22" s="260"/>
      <c r="N22" s="680">
        <f t="shared" si="3"/>
        <v>100</v>
      </c>
      <c r="O22" s="685">
        <f t="shared" si="0"/>
        <v>4</v>
      </c>
      <c r="P22" s="1414">
        <f t="shared" si="1"/>
        <v>0.050618607957798635</v>
      </c>
      <c r="Q22" s="1414"/>
      <c r="R22"/>
    </row>
    <row r="23" spans="2:18" ht="20.25" customHeight="1">
      <c r="B23" s="422" t="s">
        <v>23</v>
      </c>
      <c r="C23" s="423"/>
      <c r="D23" s="415">
        <v>2.5</v>
      </c>
      <c r="E23" s="426" t="s">
        <v>24</v>
      </c>
      <c r="F23" s="421" t="s">
        <v>16</v>
      </c>
      <c r="G23" s="408">
        <v>30</v>
      </c>
      <c r="H23" s="930">
        <f t="shared" si="4"/>
        <v>30</v>
      </c>
      <c r="I23" s="425" t="s">
        <v>114</v>
      </c>
      <c r="J23" s="931">
        <f aca="true" t="shared" si="5" ref="J23:J31">1+$D$10</f>
        <v>1.19</v>
      </c>
      <c r="K23" s="18" t="str">
        <f t="shared" si="2"/>
        <v>var. Masch.kost. inkl. Gülleausbr.</v>
      </c>
      <c r="L23" s="260"/>
      <c r="M23" s="260"/>
      <c r="N23" s="680">
        <f t="shared" si="3"/>
        <v>30</v>
      </c>
      <c r="O23" s="685">
        <f t="shared" si="0"/>
        <v>1.2</v>
      </c>
      <c r="P23" s="1414">
        <f t="shared" si="1"/>
        <v>0.01518558238733959</v>
      </c>
      <c r="Q23" s="1414"/>
      <c r="R23"/>
    </row>
    <row r="24" spans="2:18" ht="20.25" customHeight="1">
      <c r="B24" s="420" t="s">
        <v>25</v>
      </c>
      <c r="C24" s="421"/>
      <c r="D24" s="408">
        <v>12.5</v>
      </c>
      <c r="E24" s="425" t="s">
        <v>26</v>
      </c>
      <c r="F24" s="421" t="s">
        <v>18</v>
      </c>
      <c r="G24" s="408">
        <v>100</v>
      </c>
      <c r="H24" s="930">
        <f t="shared" si="4"/>
        <v>100</v>
      </c>
      <c r="I24" s="425" t="s">
        <v>114</v>
      </c>
      <c r="J24" s="931">
        <f t="shared" si="5"/>
        <v>1.19</v>
      </c>
      <c r="K24" s="18" t="str">
        <f t="shared" si="2"/>
        <v>Beratung, Kontrolle</v>
      </c>
      <c r="L24" s="260"/>
      <c r="M24" s="260"/>
      <c r="N24" s="680">
        <f t="shared" si="3"/>
        <v>10</v>
      </c>
      <c r="O24" s="685">
        <f t="shared" si="0"/>
        <v>0.4</v>
      </c>
      <c r="P24" s="1414">
        <f t="shared" si="1"/>
        <v>0.0050618607957798635</v>
      </c>
      <c r="Q24" s="1414"/>
      <c r="R24"/>
    </row>
    <row r="25" spans="2:18" ht="20.25" customHeight="1">
      <c r="B25" s="1039" t="s">
        <v>324</v>
      </c>
      <c r="C25" s="421"/>
      <c r="D25" s="1006">
        <v>38</v>
      </c>
      <c r="E25" s="425" t="s">
        <v>115</v>
      </c>
      <c r="F25" s="1142" t="s">
        <v>322</v>
      </c>
      <c r="G25" s="408">
        <v>30</v>
      </c>
      <c r="H25" s="930">
        <f t="shared" si="4"/>
        <v>30</v>
      </c>
      <c r="I25" s="425" t="s">
        <v>114</v>
      </c>
      <c r="J25" s="931">
        <f t="shared" si="5"/>
        <v>1.19</v>
      </c>
      <c r="K25" s="18" t="str">
        <f>F29</f>
        <v>Sonstiges Material</v>
      </c>
      <c r="L25" s="260"/>
      <c r="M25" s="260"/>
      <c r="N25" s="680">
        <f>G29</f>
        <v>20</v>
      </c>
      <c r="O25" s="685">
        <f t="shared" si="0"/>
        <v>0.8</v>
      </c>
      <c r="P25" s="1414">
        <f t="shared" si="1"/>
        <v>0.010123721591559727</v>
      </c>
      <c r="Q25" s="1414"/>
      <c r="R25"/>
    </row>
    <row r="26" spans="2:18" ht="20.25" customHeight="1">
      <c r="B26" s="422" t="s">
        <v>27</v>
      </c>
      <c r="C26" s="423"/>
      <c r="D26" s="1007">
        <v>25</v>
      </c>
      <c r="E26" s="426" t="s">
        <v>115</v>
      </c>
      <c r="F26" s="421" t="s">
        <v>22</v>
      </c>
      <c r="G26" s="408">
        <v>10</v>
      </c>
      <c r="H26" s="930">
        <f t="shared" si="4"/>
        <v>10</v>
      </c>
      <c r="I26" s="425" t="s">
        <v>114</v>
      </c>
      <c r="J26" s="931">
        <f t="shared" si="5"/>
        <v>1.19</v>
      </c>
      <c r="K26" s="18" t="str">
        <f>F30</f>
        <v>Zinsansatz Vieh- und Umlaufverm.</v>
      </c>
      <c r="L26" s="260"/>
      <c r="M26" s="260"/>
      <c r="N26" s="680">
        <f>H30</f>
        <v>12.658955999999998</v>
      </c>
      <c r="O26" s="685">
        <f t="shared" si="0"/>
        <v>0.50635824</v>
      </c>
      <c r="P26" s="1414">
        <f t="shared" si="1"/>
        <v>0.006407787309190227</v>
      </c>
      <c r="Q26" s="1414"/>
      <c r="R26"/>
    </row>
    <row r="27" spans="2:18" ht="20.25" customHeight="1" hidden="1">
      <c r="B27" s="420"/>
      <c r="C27" s="421"/>
      <c r="D27" s="1006"/>
      <c r="E27" s="425"/>
      <c r="F27" s="421"/>
      <c r="G27" s="408"/>
      <c r="H27" s="930"/>
      <c r="I27" s="425"/>
      <c r="J27" s="931"/>
      <c r="K27" s="18"/>
      <c r="L27" s="260"/>
      <c r="M27" s="260"/>
      <c r="N27" s="680"/>
      <c r="O27" s="685"/>
      <c r="P27" s="1414">
        <f t="shared" si="1"/>
        <v>0</v>
      </c>
      <c r="Q27" s="1414"/>
      <c r="R27"/>
    </row>
    <row r="28" spans="2:18" ht="20.25" customHeight="1" hidden="1">
      <c r="B28" s="420"/>
      <c r="C28" s="421"/>
      <c r="D28" s="1006"/>
      <c r="E28" s="425"/>
      <c r="F28" s="421"/>
      <c r="G28" s="408"/>
      <c r="H28" s="930"/>
      <c r="I28" s="425"/>
      <c r="J28" s="931"/>
      <c r="K28" s="18"/>
      <c r="L28" s="260"/>
      <c r="M28" s="260"/>
      <c r="N28" s="680"/>
      <c r="O28" s="685"/>
      <c r="P28" s="1414">
        <f t="shared" si="1"/>
        <v>0</v>
      </c>
      <c r="Q28" s="1414"/>
      <c r="R28"/>
    </row>
    <row r="29" spans="2:18" ht="20.25" customHeight="1">
      <c r="B29" s="1039" t="s">
        <v>329</v>
      </c>
      <c r="C29" s="421"/>
      <c r="D29" s="847">
        <v>3500</v>
      </c>
      <c r="E29" s="425" t="s">
        <v>116</v>
      </c>
      <c r="F29" s="1074" t="s">
        <v>306</v>
      </c>
      <c r="G29" s="408">
        <v>20</v>
      </c>
      <c r="H29" s="930">
        <f t="shared" si="4"/>
        <v>20</v>
      </c>
      <c r="I29" s="425" t="s">
        <v>114</v>
      </c>
      <c r="J29" s="931">
        <f t="shared" si="5"/>
        <v>1.19</v>
      </c>
      <c r="K29" s="18"/>
      <c r="L29" s="260"/>
      <c r="M29" s="260"/>
      <c r="N29" s="680"/>
      <c r="O29" s="685"/>
      <c r="P29" s="1414"/>
      <c r="Q29" s="1414"/>
      <c r="R29"/>
    </row>
    <row r="30" spans="2:18" ht="20.25" customHeight="1">
      <c r="B30" s="1039" t="s">
        <v>330</v>
      </c>
      <c r="C30" s="421"/>
      <c r="D30" s="774">
        <f>IF($E$7="",D29*$J$10-D29*$H$10%,D29*$J$10)</f>
        <v>4165</v>
      </c>
      <c r="E30" s="425" t="s">
        <v>116</v>
      </c>
      <c r="F30" s="1032" t="s">
        <v>290</v>
      </c>
      <c r="G30" s="1015">
        <v>0.02</v>
      </c>
      <c r="H30" s="966">
        <f>((D22*J11+D21*D20*J9)/2+0.3*(H21+H22+H23+H24+H25+H26+H29+G47+G46))*G30</f>
        <v>12.658955999999998</v>
      </c>
      <c r="I30" s="426" t="s">
        <v>114</v>
      </c>
      <c r="J30" s="931"/>
      <c r="K30" s="18" t="s">
        <v>189</v>
      </c>
      <c r="L30" s="260"/>
      <c r="M30" s="260"/>
      <c r="N30" s="686">
        <f>G55</f>
        <v>451.828125</v>
      </c>
      <c r="O30" s="685">
        <f>N30/$G$37</f>
        <v>18.073125</v>
      </c>
      <c r="P30" s="1414">
        <f t="shared" si="1"/>
        <v>0.22870910723682236</v>
      </c>
      <c r="Q30" s="1414"/>
      <c r="R30"/>
    </row>
    <row r="31" spans="2:18" ht="20.25" customHeight="1">
      <c r="B31" s="1039" t="s">
        <v>331</v>
      </c>
      <c r="C31" s="421"/>
      <c r="D31" s="847">
        <v>350</v>
      </c>
      <c r="E31" s="425" t="s">
        <v>116</v>
      </c>
      <c r="F31" s="1154" t="s">
        <v>334</v>
      </c>
      <c r="G31" s="408">
        <v>20</v>
      </c>
      <c r="H31" s="930">
        <f>IF($I$7="",G31,G31/J31)</f>
        <v>20</v>
      </c>
      <c r="I31" s="425" t="s">
        <v>117</v>
      </c>
      <c r="J31" s="931">
        <f t="shared" si="5"/>
        <v>1.19</v>
      </c>
      <c r="K31" s="18" t="str">
        <f>B56</f>
        <v>Gemeinkosten</v>
      </c>
      <c r="L31" s="260"/>
      <c r="M31" s="260"/>
      <c r="N31" s="686">
        <f>G56</f>
        <v>20</v>
      </c>
      <c r="O31" s="685">
        <f>N31/$G$37</f>
        <v>0.8</v>
      </c>
      <c r="P31" s="1414">
        <f t="shared" si="1"/>
        <v>0.010123721591559727</v>
      </c>
      <c r="Q31" s="1414"/>
      <c r="R31"/>
    </row>
    <row r="32" spans="2:18" ht="20.25" customHeight="1">
      <c r="B32" s="1040" t="s">
        <v>332</v>
      </c>
      <c r="C32" s="421"/>
      <c r="D32" s="774">
        <f>IF($E$7="",D31*$J$10-D31*$H$10%,D31*$J$10)</f>
        <v>416.5</v>
      </c>
      <c r="E32" s="425" t="s">
        <v>116</v>
      </c>
      <c r="F32" s="1039" t="s">
        <v>291</v>
      </c>
      <c r="G32" s="1144"/>
      <c r="H32" s="410">
        <v>15</v>
      </c>
      <c r="I32" s="425" t="s">
        <v>29</v>
      </c>
      <c r="J32" s="14"/>
      <c r="K32" s="18" t="s">
        <v>190</v>
      </c>
      <c r="L32" s="260"/>
      <c r="M32" s="260"/>
      <c r="N32" s="686">
        <f>G59</f>
        <v>236.25</v>
      </c>
      <c r="O32" s="685">
        <f>N32/$G$37</f>
        <v>9.45</v>
      </c>
      <c r="P32" s="1414">
        <f t="shared" si="1"/>
        <v>0.11958646130029928</v>
      </c>
      <c r="Q32" s="1414"/>
      <c r="R32"/>
    </row>
    <row r="33" spans="2:18" ht="20.25" customHeight="1">
      <c r="B33" s="1039" t="s">
        <v>333</v>
      </c>
      <c r="C33" s="421"/>
      <c r="D33" s="1145">
        <v>5.6</v>
      </c>
      <c r="E33" s="1"/>
      <c r="F33" s="1039" t="s">
        <v>335</v>
      </c>
      <c r="G33" s="1144"/>
      <c r="H33" s="417">
        <v>20</v>
      </c>
      <c r="I33" s="425" t="s">
        <v>24</v>
      </c>
      <c r="J33" s="1"/>
      <c r="K33" s="1"/>
      <c r="P33" s="1414"/>
      <c r="Q33" s="1414"/>
      <c r="R33"/>
    </row>
    <row r="34" spans="2:28" ht="20.25" customHeight="1" thickBot="1">
      <c r="B34" s="1033"/>
      <c r="C34" s="424"/>
      <c r="D34" s="1146"/>
      <c r="E34" s="1147"/>
      <c r="F34" s="1033" t="s">
        <v>336</v>
      </c>
      <c r="G34" s="1009"/>
      <c r="H34" s="1008">
        <v>1</v>
      </c>
      <c r="I34" s="428" t="s">
        <v>5</v>
      </c>
      <c r="J34" s="1"/>
      <c r="K34" s="1"/>
      <c r="P34" s="1414"/>
      <c r="Q34" s="1414"/>
      <c r="R34"/>
      <c r="V34"/>
      <c r="W34"/>
      <c r="X34"/>
      <c r="Y34"/>
      <c r="Z34"/>
      <c r="AA34"/>
      <c r="AB34"/>
    </row>
    <row r="35" spans="2:28" ht="10.5" customHeight="1" thickBot="1">
      <c r="B35" s="43"/>
      <c r="C35" s="43"/>
      <c r="D35" s="44"/>
      <c r="E35" s="42"/>
      <c r="F35" s="43"/>
      <c r="G35" s="39"/>
      <c r="H35" s="44"/>
      <c r="I35" s="42"/>
      <c r="J35" s="14"/>
      <c r="K35" s="18"/>
      <c r="L35" s="260"/>
      <c r="M35" s="260"/>
      <c r="N35" s="260"/>
      <c r="O35" s="685"/>
      <c r="P35" s="1414"/>
      <c r="Q35" s="1414"/>
      <c r="R35"/>
      <c r="V35"/>
      <c r="W35"/>
      <c r="X35"/>
      <c r="Y35"/>
      <c r="Z35"/>
      <c r="AA35"/>
      <c r="AB35"/>
    </row>
    <row r="36" spans="2:18" s="229" customFormat="1" ht="23.25" customHeight="1">
      <c r="B36" s="488" t="s">
        <v>275</v>
      </c>
      <c r="C36" s="960" t="str">
        <f>IF($I$7="",$H$6,$H$7)</f>
        <v>Pauschalierung </v>
      </c>
      <c r="D36" s="489"/>
      <c r="E36" s="489"/>
      <c r="F36" s="490" t="s">
        <v>213</v>
      </c>
      <c r="G36" s="491"/>
      <c r="H36" s="492"/>
      <c r="I36" s="493"/>
      <c r="J36" s="394"/>
      <c r="K36" s="688" t="s">
        <v>194</v>
      </c>
      <c r="L36" s="276"/>
      <c r="M36" s="276"/>
      <c r="N36" s="689">
        <f>SUM(N17:N35)</f>
        <v>1975.558081</v>
      </c>
      <c r="O36" s="690">
        <f>N36/$G$37</f>
        <v>79.02232323999999</v>
      </c>
      <c r="P36" s="1414">
        <f t="shared" si="1"/>
        <v>1</v>
      </c>
      <c r="Q36" s="1414"/>
      <c r="R36" s="224"/>
    </row>
    <row r="37" spans="2:18" s="229" customFormat="1" ht="23.25" customHeight="1" thickBot="1">
      <c r="B37" s="494"/>
      <c r="C37" s="961" t="str">
        <f>IF($E$7="","Mit Förderung","Ohne Förderung")</f>
        <v>Ohne Förderung</v>
      </c>
      <c r="D37" s="1071" t="str">
        <f>IF($E$6=0," ",$H$10/100)</f>
        <v> </v>
      </c>
      <c r="E37" s="495"/>
      <c r="F37" s="538">
        <v>22</v>
      </c>
      <c r="G37" s="539">
        <v>25</v>
      </c>
      <c r="H37" s="1322">
        <v>28</v>
      </c>
      <c r="I37" s="1323"/>
      <c r="J37" s="394"/>
      <c r="K37" s="18" t="s">
        <v>192</v>
      </c>
      <c r="L37" s="681"/>
      <c r="M37" s="681"/>
      <c r="N37" s="682">
        <f>G41+G42</f>
        <v>147.8388</v>
      </c>
      <c r="O37" s="685">
        <f>N37/$G$37</f>
        <v>5.913551999999999</v>
      </c>
      <c r="P37" s="228"/>
      <c r="Q37" s="228"/>
      <c r="R37" s="228"/>
    </row>
    <row r="38" spans="2:18" ht="19.5" customHeight="1" hidden="1">
      <c r="B38" s="496" t="s">
        <v>65</v>
      </c>
      <c r="C38" s="497"/>
      <c r="D38" s="498"/>
      <c r="E38" s="499" t="s">
        <v>10</v>
      </c>
      <c r="F38" s="500">
        <f>$D$16</f>
        <v>30</v>
      </c>
      <c r="G38" s="500">
        <f>$D$16</f>
        <v>30</v>
      </c>
      <c r="H38" s="501">
        <f>$D$16</f>
        <v>30</v>
      </c>
      <c r="I38" s="502"/>
      <c r="J38" s="14"/>
      <c r="K38" s="18" t="s">
        <v>195</v>
      </c>
      <c r="L38" s="681"/>
      <c r="M38" s="681"/>
      <c r="N38" s="683">
        <f>N36-N37</f>
        <v>1827.719281</v>
      </c>
      <c r="O38" s="685">
        <f>N38/$G$37</f>
        <v>73.10877124</v>
      </c>
      <c r="P38" s="2"/>
      <c r="Q38" s="2"/>
      <c r="R38" s="2"/>
    </row>
    <row r="39" spans="2:10" ht="19.5" customHeight="1">
      <c r="B39" s="496" t="s">
        <v>270</v>
      </c>
      <c r="C39" s="497"/>
      <c r="D39" s="498"/>
      <c r="E39" s="499" t="s">
        <v>117</v>
      </c>
      <c r="F39" s="503">
        <f>(($D$16-$D$15)*$D$17+$D$14+$D$18+$D$19)*$J$9</f>
        <v>71.4015</v>
      </c>
      <c r="G39" s="503">
        <f>(($D$16-$D$15)*$D$17+$D$14+$D$18+$D$19)*$J$9</f>
        <v>71.4015</v>
      </c>
      <c r="H39" s="507">
        <f>(($D$16-$D$15)*$D$17+$D$14+$D$18+$D$19)*$J$9</f>
        <v>71.4015</v>
      </c>
      <c r="I39" s="505"/>
      <c r="J39" s="29"/>
    </row>
    <row r="40" spans="2:10" ht="19.5" customHeight="1">
      <c r="B40" s="496" t="s">
        <v>271</v>
      </c>
      <c r="C40" s="497"/>
      <c r="D40" s="498"/>
      <c r="E40" s="499" t="s">
        <v>117</v>
      </c>
      <c r="F40" s="506">
        <f>F37*F39</f>
        <v>1570.833</v>
      </c>
      <c r="G40" s="506">
        <f>G37*G39</f>
        <v>1785.0375</v>
      </c>
      <c r="H40" s="504">
        <f>H37*H39</f>
        <v>1999.242</v>
      </c>
      <c r="I40" s="505"/>
      <c r="J40" s="16"/>
    </row>
    <row r="41" spans="2:17" ht="19.5" customHeight="1">
      <c r="B41" s="496" t="s">
        <v>30</v>
      </c>
      <c r="C41" s="497"/>
      <c r="D41" s="498"/>
      <c r="E41" s="499" t="s">
        <v>117</v>
      </c>
      <c r="F41" s="503">
        <f>(D20*D21*J9)/D23</f>
        <v>97.8588</v>
      </c>
      <c r="G41" s="503">
        <f>$F$41</f>
        <v>97.8588</v>
      </c>
      <c r="H41" s="507">
        <f>$F$41</f>
        <v>97.8588</v>
      </c>
      <c r="I41" s="508"/>
      <c r="J41" s="16"/>
      <c r="K41" s="16"/>
      <c r="L41" s="299"/>
      <c r="M41" s="299"/>
      <c r="N41" s="697" t="s">
        <v>199</v>
      </c>
      <c r="O41" s="697" t="s">
        <v>94</v>
      </c>
      <c r="P41" s="697" t="s">
        <v>199</v>
      </c>
      <c r="Q41" s="697" t="s">
        <v>94</v>
      </c>
    </row>
    <row r="42" spans="2:17" ht="19.5" customHeight="1">
      <c r="B42" s="496" t="s">
        <v>31</v>
      </c>
      <c r="C42" s="497"/>
      <c r="D42" s="498"/>
      <c r="E42" s="499" t="s">
        <v>117</v>
      </c>
      <c r="F42" s="503">
        <f>IF($I$6="",$H$17*$H$18,$H$17*$H$18*(1+$D$10))</f>
        <v>49.98</v>
      </c>
      <c r="G42" s="503">
        <f>F42</f>
        <v>49.98</v>
      </c>
      <c r="H42" s="1293">
        <f>F42</f>
        <v>49.98</v>
      </c>
      <c r="I42" s="1294"/>
      <c r="J42" s="16"/>
      <c r="K42" s="16" t="s">
        <v>33</v>
      </c>
      <c r="L42" s="299"/>
      <c r="M42" s="299"/>
      <c r="N42" s="696">
        <f>O17</f>
        <v>5.6496</v>
      </c>
      <c r="O42" s="696">
        <f>O81</f>
        <v>71.69</v>
      </c>
      <c r="P42" s="698">
        <f aca="true" t="shared" si="6" ref="P42:P47">N42/$N$47</f>
        <v>0.0714937218795948</v>
      </c>
      <c r="Q42" s="698">
        <f aca="true" t="shared" si="7" ref="Q42:Q47">O42/$O$47</f>
        <v>0.41138705217872257</v>
      </c>
    </row>
    <row r="43" spans="2:26" s="279" customFormat="1" ht="19.5" customHeight="1">
      <c r="B43" s="510" t="s">
        <v>174</v>
      </c>
      <c r="C43" s="511"/>
      <c r="D43" s="512"/>
      <c r="E43" s="513" t="s">
        <v>117</v>
      </c>
      <c r="F43" s="514">
        <f>F40+F41+F42</f>
        <v>1718.6718</v>
      </c>
      <c r="G43" s="514">
        <f>G40+G41+G42</f>
        <v>1932.8763</v>
      </c>
      <c r="H43" s="515">
        <f>H40+H41+H42</f>
        <v>2147.0808</v>
      </c>
      <c r="I43" s="516"/>
      <c r="J43" s="1221"/>
      <c r="K43" s="16" t="s">
        <v>187</v>
      </c>
      <c r="L43" s="299"/>
      <c r="M43" s="299"/>
      <c r="N43" s="696">
        <f>O18</f>
        <v>30.743239999999997</v>
      </c>
      <c r="O43" s="696">
        <f>O82</f>
        <v>70.01389240506329</v>
      </c>
      <c r="P43" s="698">
        <f t="shared" si="6"/>
        <v>0.38904500322812824</v>
      </c>
      <c r="Q43" s="698">
        <f t="shared" si="7"/>
        <v>0.4017688493245535</v>
      </c>
      <c r="R43" s="280"/>
      <c r="S43" s="280"/>
      <c r="T43" s="280"/>
      <c r="U43" s="280"/>
      <c r="V43" s="280"/>
      <c r="W43" s="280"/>
      <c r="X43" s="280"/>
      <c r="Y43" s="280"/>
      <c r="Z43" s="280"/>
    </row>
    <row r="44" spans="2:26" s="279" customFormat="1" ht="19.5" customHeight="1">
      <c r="B44" s="496" t="s">
        <v>224</v>
      </c>
      <c r="C44" s="497"/>
      <c r="D44" s="498"/>
      <c r="E44" s="499" t="s">
        <v>10</v>
      </c>
      <c r="F44" s="500">
        <f>$H$15+0.5</f>
        <v>41.9</v>
      </c>
      <c r="G44" s="500">
        <f>$H$15+0.5</f>
        <v>41.9</v>
      </c>
      <c r="H44" s="1324">
        <f>$H$15+0.5</f>
        <v>41.9</v>
      </c>
      <c r="I44" s="1325"/>
      <c r="J44" s="278"/>
      <c r="K44" s="16" t="s">
        <v>197</v>
      </c>
      <c r="L44" s="299"/>
      <c r="M44" s="299"/>
      <c r="N44" s="696">
        <f>SUM(O19:O26)</f>
        <v>14.306358239999998</v>
      </c>
      <c r="O44" s="696">
        <f>SUM(O84:O90)</f>
        <v>5.974931340809303</v>
      </c>
      <c r="P44" s="698">
        <f t="shared" si="6"/>
        <v>0.18104198476359548</v>
      </c>
      <c r="Q44" s="698">
        <f t="shared" si="7"/>
        <v>0.03428664236665925</v>
      </c>
      <c r="R44" s="280"/>
      <c r="S44" s="280"/>
      <c r="T44" s="280"/>
      <c r="U44" s="280"/>
      <c r="V44" s="280"/>
      <c r="W44" s="280"/>
      <c r="X44" s="280"/>
      <c r="Y44" s="280"/>
      <c r="Z44" s="280"/>
    </row>
    <row r="45" spans="2:26" s="279" customFormat="1" ht="19.5" customHeight="1">
      <c r="B45" s="523" t="s">
        <v>32</v>
      </c>
      <c r="C45" s="524"/>
      <c r="D45" s="525"/>
      <c r="E45" s="526" t="s">
        <v>26</v>
      </c>
      <c r="F45" s="977">
        <f>F44*F37/100</f>
        <v>9.218</v>
      </c>
      <c r="G45" s="977">
        <f>G44*G37/100</f>
        <v>10.475</v>
      </c>
      <c r="H45" s="1316">
        <f>H44*H37/100</f>
        <v>11.732000000000001</v>
      </c>
      <c r="I45" s="1317"/>
      <c r="J45" s="278"/>
      <c r="K45" s="16" t="s">
        <v>198</v>
      </c>
      <c r="L45" s="299"/>
      <c r="M45" s="299"/>
      <c r="N45" s="696">
        <f>O30+O31</f>
        <v>18.873125</v>
      </c>
      <c r="O45" s="696">
        <f>O92+O93</f>
        <v>19.836304259869372</v>
      </c>
      <c r="P45" s="698">
        <f t="shared" si="6"/>
        <v>0.23883282882838208</v>
      </c>
      <c r="Q45" s="698">
        <f t="shared" si="7"/>
        <v>0.11382896827434648</v>
      </c>
      <c r="R45" s="280"/>
      <c r="S45" s="280"/>
      <c r="T45" s="280"/>
      <c r="U45" s="280"/>
      <c r="V45" s="280"/>
      <c r="W45" s="280"/>
      <c r="X45" s="280"/>
      <c r="Y45" s="280"/>
      <c r="Z45" s="280"/>
    </row>
    <row r="46" spans="2:17" s="1161" customFormat="1" ht="19.5" customHeight="1">
      <c r="B46" s="1155" t="s">
        <v>32</v>
      </c>
      <c r="C46" s="1156"/>
      <c r="D46" s="1157"/>
      <c r="E46" s="499" t="s">
        <v>117</v>
      </c>
      <c r="F46" s="503">
        <f>(($D$16-7)*$H$14*$D$25/100+$H$16)*F37*$J$11</f>
        <v>382.10128000000003</v>
      </c>
      <c r="G46" s="503">
        <f>(($D$16-7)*$H$14*$D$25/100+$H$16)*G37*$J$11</f>
        <v>434.20599999999996</v>
      </c>
      <c r="H46" s="1320">
        <f>(($D$16-7)*$H$14*$D$25/100+$H$16)*H37*$J$11</f>
        <v>486.31072</v>
      </c>
      <c r="I46" s="1321"/>
      <c r="J46" s="1158"/>
      <c r="K46" s="1159" t="s">
        <v>190</v>
      </c>
      <c r="L46" s="181"/>
      <c r="M46" s="181"/>
      <c r="N46" s="877">
        <f>O32</f>
        <v>9.45</v>
      </c>
      <c r="O46" s="877">
        <f>O94</f>
        <v>6.7489856077683354</v>
      </c>
      <c r="P46" s="1160">
        <f t="shared" si="6"/>
        <v>0.11958646130029926</v>
      </c>
      <c r="Q46" s="1160">
        <f t="shared" si="7"/>
        <v>0.03872848785571823</v>
      </c>
    </row>
    <row r="47" spans="2:17" s="86" customFormat="1" ht="19.5" customHeight="1">
      <c r="B47" s="1155" t="s">
        <v>25</v>
      </c>
      <c r="C47" s="1156"/>
      <c r="D47" s="1157"/>
      <c r="E47" s="499" t="s">
        <v>117</v>
      </c>
      <c r="F47" s="503">
        <f>$D$24*$D$26*$J$11</f>
        <v>334.375</v>
      </c>
      <c r="G47" s="503">
        <f>$D$24*$D$26*$J$11</f>
        <v>334.375</v>
      </c>
      <c r="H47" s="507">
        <f>$D$24*$D$26*$J$11</f>
        <v>334.375</v>
      </c>
      <c r="I47" s="509"/>
      <c r="J47" s="85"/>
      <c r="K47" s="1162" t="s">
        <v>194</v>
      </c>
      <c r="L47" s="1163"/>
      <c r="M47" s="1163"/>
      <c r="N47" s="1164">
        <f>SUM(N42:N46)</f>
        <v>79.02232324</v>
      </c>
      <c r="O47" s="1164">
        <f>SUM(O42:O46)</f>
        <v>174.2641136135103</v>
      </c>
      <c r="P47" s="1160">
        <f t="shared" si="6"/>
        <v>1</v>
      </c>
      <c r="Q47" s="1160">
        <f t="shared" si="7"/>
        <v>1</v>
      </c>
    </row>
    <row r="48" spans="2:11" s="86" customFormat="1" ht="19.5" customHeight="1">
      <c r="B48" s="1155" t="s">
        <v>33</v>
      </c>
      <c r="C48" s="1156"/>
      <c r="D48" s="1157"/>
      <c r="E48" s="499" t="s">
        <v>117</v>
      </c>
      <c r="F48" s="503">
        <f>$D$22/$D$23*$J$11</f>
        <v>141.24</v>
      </c>
      <c r="G48" s="503">
        <f>$D$22/$D$23*$J$11</f>
        <v>141.24</v>
      </c>
      <c r="H48" s="507">
        <f>$D$22/$D$23*$J$11</f>
        <v>141.24</v>
      </c>
      <c r="I48" s="509"/>
      <c r="J48" s="85"/>
      <c r="K48" s="85"/>
    </row>
    <row r="49" spans="2:11" s="86" customFormat="1" ht="19.5" customHeight="1">
      <c r="B49" s="1155" t="s">
        <v>34</v>
      </c>
      <c r="C49" s="1156"/>
      <c r="D49" s="1157"/>
      <c r="E49" s="499" t="s">
        <v>117</v>
      </c>
      <c r="F49" s="503">
        <f>$H$19</f>
        <v>357.658956</v>
      </c>
      <c r="G49" s="503">
        <f>$H$19</f>
        <v>357.658956</v>
      </c>
      <c r="H49" s="507">
        <f>$H$19</f>
        <v>357.658956</v>
      </c>
      <c r="I49" s="1165"/>
      <c r="J49" s="85"/>
      <c r="K49" s="85"/>
    </row>
    <row r="50" spans="2:20" s="279" customFormat="1" ht="19.5" customHeight="1">
      <c r="B50" s="517" t="s">
        <v>35</v>
      </c>
      <c r="C50" s="518"/>
      <c r="D50" s="850" t="s">
        <v>248</v>
      </c>
      <c r="E50" s="519" t="s">
        <v>117</v>
      </c>
      <c r="F50" s="520">
        <f>F47+F46+F48+F49</f>
        <v>1215.375236</v>
      </c>
      <c r="G50" s="520">
        <f>G47+G46+G48+G49</f>
        <v>1267.479956</v>
      </c>
      <c r="H50" s="521">
        <f>H47+H46+H48+H49</f>
        <v>1319.584676</v>
      </c>
      <c r="I50" s="522"/>
      <c r="J50" s="283"/>
      <c r="K50" s="1220">
        <f>(G50-F50)/(G37-F37)</f>
        <v>17.36823999999994</v>
      </c>
      <c r="L50" s="260" t="s">
        <v>356</v>
      </c>
      <c r="M50" s="280"/>
      <c r="N50" s="280"/>
      <c r="O50" s="280"/>
      <c r="P50" s="280"/>
      <c r="Q50" s="280"/>
      <c r="R50" s="280"/>
      <c r="S50" s="280"/>
      <c r="T50" s="280"/>
    </row>
    <row r="51" spans="2:20" s="279" customFormat="1" ht="19.5" customHeight="1">
      <c r="B51" s="517"/>
      <c r="C51" s="518"/>
      <c r="D51" s="850" t="s">
        <v>249</v>
      </c>
      <c r="E51" s="519" t="s">
        <v>117</v>
      </c>
      <c r="F51" s="520">
        <f>F50/F37</f>
        <v>55.24432890909091</v>
      </c>
      <c r="G51" s="520">
        <f>G50/G37</f>
        <v>50.699198239999994</v>
      </c>
      <c r="H51" s="1314">
        <f>H50/H37</f>
        <v>47.12802414285714</v>
      </c>
      <c r="I51" s="1315"/>
      <c r="J51" s="283"/>
      <c r="K51" s="283"/>
      <c r="L51" s="280"/>
      <c r="M51" s="280"/>
      <c r="N51" s="280"/>
      <c r="O51" s="280"/>
      <c r="P51" s="280"/>
      <c r="Q51" s="280"/>
      <c r="R51" s="280"/>
      <c r="S51" s="280"/>
      <c r="T51" s="280"/>
    </row>
    <row r="52" spans="2:20" s="229" customFormat="1" ht="24.75" customHeight="1">
      <c r="B52" s="395" t="s">
        <v>134</v>
      </c>
      <c r="C52" s="396"/>
      <c r="D52" s="397"/>
      <c r="E52" s="398" t="s">
        <v>117</v>
      </c>
      <c r="F52" s="1239">
        <f>F43-F50</f>
        <v>503.296564</v>
      </c>
      <c r="G52" s="1239">
        <f>G43-G50</f>
        <v>665.396344</v>
      </c>
      <c r="H52" s="1240">
        <f>H43-H50</f>
        <v>827.4961240000002</v>
      </c>
      <c r="I52" s="1241"/>
      <c r="J52" s="394"/>
      <c r="K52" s="394"/>
      <c r="L52" s="224"/>
      <c r="M52" s="224"/>
      <c r="N52" s="224"/>
      <c r="O52" s="224"/>
      <c r="P52" s="224"/>
      <c r="Q52" s="224"/>
      <c r="R52" s="224"/>
      <c r="S52" s="224"/>
      <c r="T52" s="224"/>
    </row>
    <row r="53" spans="2:20" s="279" customFormat="1" ht="22.5" customHeight="1">
      <c r="B53" s="1290" t="s">
        <v>148</v>
      </c>
      <c r="C53" s="1291"/>
      <c r="D53" s="1292"/>
      <c r="E53" s="703" t="s">
        <v>5</v>
      </c>
      <c r="F53" s="704">
        <f>F52/(F55+F56+F59)</f>
        <v>0.7279975612710753</v>
      </c>
      <c r="G53" s="704">
        <f>G52/(G55+G56+G59)</f>
        <v>0.939721650065097</v>
      </c>
      <c r="H53" s="1288">
        <f>H52/(H55+H56+H59)</f>
        <v>1.1416692234198502</v>
      </c>
      <c r="I53" s="1289"/>
      <c r="J53" s="283"/>
      <c r="K53" s="283"/>
      <c r="L53" s="280"/>
      <c r="M53" s="280"/>
      <c r="N53" s="280"/>
      <c r="O53" s="280"/>
      <c r="P53" s="280"/>
      <c r="Q53" s="280"/>
      <c r="R53" s="280"/>
      <c r="S53" s="280"/>
      <c r="T53" s="280"/>
    </row>
    <row r="54" spans="2:20" s="279" customFormat="1" ht="19.5" customHeight="1" hidden="1">
      <c r="B54" s="496" t="s">
        <v>328</v>
      </c>
      <c r="C54" s="990"/>
      <c r="D54" s="1041"/>
      <c r="E54" s="499" t="s">
        <v>327</v>
      </c>
      <c r="F54" s="1148">
        <f>F37/$D$33</f>
        <v>3.928571428571429</v>
      </c>
      <c r="G54" s="1148">
        <f>G37/$D$33</f>
        <v>4.464285714285714</v>
      </c>
      <c r="H54" s="1149">
        <f>H37/$D$33</f>
        <v>5</v>
      </c>
      <c r="I54" s="702"/>
      <c r="J54" s="283"/>
      <c r="K54" s="283"/>
      <c r="L54" s="280"/>
      <c r="M54" s="280"/>
      <c r="N54" s="280"/>
      <c r="O54" s="280"/>
      <c r="P54" s="280"/>
      <c r="Q54" s="280"/>
      <c r="R54" s="280"/>
      <c r="S54" s="280"/>
      <c r="T54" s="280"/>
    </row>
    <row r="55" spans="2:20" ht="19.5" customHeight="1" hidden="1">
      <c r="B55" s="496" t="s">
        <v>347</v>
      </c>
      <c r="C55" s="990"/>
      <c r="D55" s="1041">
        <f>100/H33+H34+H9/2</f>
        <v>7.5</v>
      </c>
      <c r="E55" s="499" t="s">
        <v>117</v>
      </c>
      <c r="F55" s="506">
        <f>($D$30+$D$32*F54)*$D$55/100</f>
        <v>435.09375</v>
      </c>
      <c r="G55" s="506">
        <f>($D$30+$D$32*G54)*$D$55/100</f>
        <v>451.828125</v>
      </c>
      <c r="H55" s="504">
        <f>($D$30+$D$32*H54)*$D$55/100</f>
        <v>468.5625</v>
      </c>
      <c r="I55" s="702"/>
      <c r="J55" s="394"/>
      <c r="K55" s="14"/>
      <c r="L55"/>
      <c r="M55"/>
      <c r="N55"/>
      <c r="O55"/>
      <c r="P55"/>
      <c r="Q55"/>
      <c r="R55"/>
      <c r="S55"/>
      <c r="T55"/>
    </row>
    <row r="56" spans="2:20" ht="19.5" customHeight="1" hidden="1">
      <c r="B56" s="523" t="s">
        <v>38</v>
      </c>
      <c r="C56" s="524"/>
      <c r="D56" s="525"/>
      <c r="E56" s="526" t="s">
        <v>117</v>
      </c>
      <c r="F56" s="527">
        <f>G56</f>
        <v>20</v>
      </c>
      <c r="G56" s="527">
        <f>H31</f>
        <v>20</v>
      </c>
      <c r="H56" s="528">
        <f>G56</f>
        <v>20</v>
      </c>
      <c r="I56" s="529"/>
      <c r="J56" s="14"/>
      <c r="K56" s="14"/>
      <c r="L56"/>
      <c r="M56"/>
      <c r="N56"/>
      <c r="O56"/>
      <c r="P56"/>
      <c r="Q56"/>
      <c r="R56"/>
      <c r="S56"/>
      <c r="T56"/>
    </row>
    <row r="57" spans="2:20" s="229" customFormat="1" ht="21.75" customHeight="1" hidden="1">
      <c r="B57" s="399" t="s">
        <v>202</v>
      </c>
      <c r="C57" s="400"/>
      <c r="D57" s="1176" t="s">
        <v>145</v>
      </c>
      <c r="E57" s="1177" t="s">
        <v>117</v>
      </c>
      <c r="F57" s="1178">
        <f>F52-F55-F56</f>
        <v>48.20281399999999</v>
      </c>
      <c r="G57" s="1178">
        <f>G52-G55-G56</f>
        <v>193.568219</v>
      </c>
      <c r="H57" s="1179">
        <f>H52-H55-H56</f>
        <v>338.93362400000024</v>
      </c>
      <c r="I57" s="1180"/>
      <c r="J57" s="394"/>
      <c r="K57" s="394"/>
      <c r="L57" s="224"/>
      <c r="M57" s="224"/>
      <c r="N57" s="224"/>
      <c r="O57" s="224"/>
      <c r="P57" s="224"/>
      <c r="Q57" s="224"/>
      <c r="R57" s="224"/>
      <c r="S57" s="224"/>
      <c r="T57" s="224"/>
    </row>
    <row r="58" spans="2:20" ht="21.75" customHeight="1" hidden="1">
      <c r="B58" s="392"/>
      <c r="C58" s="393"/>
      <c r="D58" s="1181" t="s">
        <v>139</v>
      </c>
      <c r="E58" s="1182" t="s">
        <v>117</v>
      </c>
      <c r="F58" s="1183">
        <f>F57/$H$32</f>
        <v>3.2135209333333328</v>
      </c>
      <c r="G58" s="1183">
        <f>G57/$H$32</f>
        <v>12.904547933333333</v>
      </c>
      <c r="H58" s="1184">
        <f>H57/$H$32</f>
        <v>22.59557493333335</v>
      </c>
      <c r="I58" s="1185"/>
      <c r="J58" s="14"/>
      <c r="K58" s="14"/>
      <c r="L58"/>
      <c r="M58"/>
      <c r="N58"/>
      <c r="O58"/>
      <c r="P58"/>
      <c r="Q58"/>
      <c r="R58"/>
      <c r="S58"/>
      <c r="T58"/>
    </row>
    <row r="59" spans="2:20" s="299" customFormat="1" ht="26.25" customHeight="1" hidden="1">
      <c r="B59" s="530" t="s">
        <v>40</v>
      </c>
      <c r="C59" s="991">
        <f>H32</f>
        <v>15</v>
      </c>
      <c r="D59" s="1042">
        <f>H11</f>
        <v>15.75</v>
      </c>
      <c r="E59" s="531" t="s">
        <v>117</v>
      </c>
      <c r="F59" s="532">
        <f>$H$32*$H$11</f>
        <v>236.25</v>
      </c>
      <c r="G59" s="532">
        <f>$H$32*$H$11</f>
        <v>236.25</v>
      </c>
      <c r="H59" s="533">
        <f>$H$32*$H$11</f>
        <v>236.25</v>
      </c>
      <c r="I59" s="534"/>
      <c r="J59" s="18"/>
      <c r="K59" s="18"/>
      <c r="L59" s="260"/>
      <c r="M59" s="260"/>
      <c r="N59" s="260"/>
      <c r="O59" s="260"/>
      <c r="P59" s="260"/>
      <c r="Q59" s="260"/>
      <c r="R59" s="260"/>
      <c r="S59" s="260"/>
      <c r="T59" s="260"/>
    </row>
    <row r="60" spans="2:20" s="229" customFormat="1" ht="26.25" customHeight="1">
      <c r="B60" s="399" t="s">
        <v>141</v>
      </c>
      <c r="C60" s="400"/>
      <c r="D60" s="402"/>
      <c r="E60" s="403" t="s">
        <v>117</v>
      </c>
      <c r="F60" s="898">
        <f>F57-F59</f>
        <v>-188.047186</v>
      </c>
      <c r="G60" s="898">
        <f>G57-G59</f>
        <v>-42.681781</v>
      </c>
      <c r="H60" s="899">
        <f>H57-H59</f>
        <v>102.68362400000024</v>
      </c>
      <c r="I60" s="404"/>
      <c r="J60" s="394"/>
      <c r="K60" s="394"/>
      <c r="L60" s="224"/>
      <c r="M60" s="224"/>
      <c r="N60" s="224"/>
      <c r="O60" s="224"/>
      <c r="P60" s="224"/>
      <c r="Q60" s="224"/>
      <c r="R60" s="224"/>
      <c r="S60" s="224"/>
      <c r="T60" s="224"/>
    </row>
    <row r="61" spans="2:20" s="229" customFormat="1" ht="26.25" customHeight="1" thickBot="1">
      <c r="B61" s="399" t="s">
        <v>130</v>
      </c>
      <c r="C61" s="400"/>
      <c r="D61" s="405"/>
      <c r="E61" s="403" t="s">
        <v>5</v>
      </c>
      <c r="F61" s="406">
        <f>((F52-F56-F59-($D$30+$D$32*F54)/$H$33-($D$30+$D$32*F54)*$H$34%))/($D$30+$D$32*F54)*2</f>
        <v>-0.03482988528334411</v>
      </c>
      <c r="G61" s="406">
        <f>((G52-G56-G59-($D$30+$D$32*G54)/$H$33-($D$30+$D$32*G54)*$H$34%))/($D$30+$D$32*G54)*2</f>
        <v>0.01583030405643739</v>
      </c>
      <c r="H61" s="407">
        <f>((H52-H56-H59-($D$30+$D$32*H54)/$H$33-($D$30+$D$32*H54)*$H$34%))/($D$30+$D$32*H54)*2</f>
        <v>0.06287190844337742</v>
      </c>
      <c r="I61" s="401"/>
      <c r="J61" s="394"/>
      <c r="K61" s="394"/>
      <c r="L61" s="224"/>
      <c r="M61" s="224"/>
      <c r="N61" s="224"/>
      <c r="O61" s="224"/>
      <c r="P61" s="224"/>
      <c r="Q61" s="224"/>
      <c r="R61" s="224"/>
      <c r="S61" s="224"/>
      <c r="T61" s="224"/>
    </row>
    <row r="62" spans="2:20" ht="32.25" customHeight="1">
      <c r="B62" s="1308" t="s">
        <v>216</v>
      </c>
      <c r="C62" s="1309"/>
      <c r="D62" s="535" t="str">
        <f>IF(I6&lt;&gt;0,"brutto","netto")</f>
        <v>brutto</v>
      </c>
      <c r="E62" s="536" t="s">
        <v>117</v>
      </c>
      <c r="F62" s="1169">
        <f>(F50+F55+F56+F59-F41-F42)/F37</f>
        <v>79.94909936363636</v>
      </c>
      <c r="G62" s="1169">
        <f>(G50+G55+G56+G59-G41-G42)/G37</f>
        <v>73.10877124</v>
      </c>
      <c r="H62" s="1170">
        <f>(H50+H55+H56+H59-H41-H42)/H37</f>
        <v>67.73422771428571</v>
      </c>
      <c r="I62" s="1171"/>
      <c r="J62" s="14"/>
      <c r="K62" s="14"/>
      <c r="L62"/>
      <c r="M62"/>
      <c r="N62"/>
      <c r="O62"/>
      <c r="P62"/>
      <c r="Q62"/>
      <c r="R62"/>
      <c r="S62"/>
      <c r="T62"/>
    </row>
    <row r="63" spans="2:20" ht="19.5" customHeight="1">
      <c r="B63" s="1310"/>
      <c r="C63" s="1311"/>
      <c r="D63" s="724" t="s">
        <v>205</v>
      </c>
      <c r="E63" s="725" t="s">
        <v>117</v>
      </c>
      <c r="F63" s="1150">
        <f>F62/$J$9</f>
        <v>72.22140863923791</v>
      </c>
      <c r="G63" s="1150">
        <f>G62/$J$9</f>
        <v>66.04225044263775</v>
      </c>
      <c r="H63" s="1318">
        <f>H62/$J$9</f>
        <v>61.187197573880496</v>
      </c>
      <c r="I63" s="1319"/>
      <c r="J63" s="14"/>
      <c r="K63" s="14"/>
      <c r="L63"/>
      <c r="M63"/>
      <c r="N63"/>
      <c r="O63"/>
      <c r="P63"/>
      <c r="Q63"/>
      <c r="R63"/>
      <c r="S63"/>
      <c r="T63"/>
    </row>
    <row r="64" spans="2:20" ht="21" customHeight="1">
      <c r="B64" s="481" t="s">
        <v>247</v>
      </c>
      <c r="C64" s="482"/>
      <c r="D64" s="483"/>
      <c r="E64" s="671"/>
      <c r="F64" s="1151"/>
      <c r="G64" s="1151"/>
      <c r="H64" s="1152"/>
      <c r="I64" s="1153"/>
      <c r="J64" s="14"/>
      <c r="K64" s="14"/>
      <c r="L64"/>
      <c r="M64"/>
      <c r="N64"/>
      <c r="O64"/>
      <c r="P64"/>
      <c r="Q64"/>
      <c r="R64"/>
      <c r="S64"/>
      <c r="T64"/>
    </row>
    <row r="65" spans="2:20" ht="19.5" customHeight="1" thickBot="1">
      <c r="B65" s="746" t="s">
        <v>184</v>
      </c>
      <c r="C65" s="1242"/>
      <c r="D65" s="1243"/>
      <c r="E65" s="537" t="s">
        <v>117</v>
      </c>
      <c r="F65" s="1244">
        <f>(-F60/F37)/$J$9+$D$14</f>
        <v>61.72140863923791</v>
      </c>
      <c r="G65" s="1244">
        <f>(-G60/G37)/$J$9+$D$14</f>
        <v>55.54225044263776</v>
      </c>
      <c r="H65" s="1245">
        <f>(-H60/H37)/$J$9+$D$14</f>
        <v>50.687197573880496</v>
      </c>
      <c r="I65" s="1246"/>
      <c r="J65" s="18" t="s">
        <v>214</v>
      </c>
      <c r="K65" s="14"/>
      <c r="L65"/>
      <c r="M65"/>
      <c r="N65"/>
      <c r="O65"/>
      <c r="P65"/>
      <c r="Q65"/>
      <c r="R65"/>
      <c r="S65"/>
      <c r="T65"/>
    </row>
    <row r="66" spans="2:20" ht="21" customHeight="1" hidden="1" thickBot="1">
      <c r="B66" s="746" t="s">
        <v>185</v>
      </c>
      <c r="C66" s="487"/>
      <c r="D66" s="487"/>
      <c r="E66" s="537" t="s">
        <v>117</v>
      </c>
      <c r="F66" s="1166">
        <f>$D$14+(-F52/F37/$J$9)</f>
        <v>33.33413139525335</v>
      </c>
      <c r="G66" s="1166">
        <f>$D$14+(-G52/G37/$J$9)</f>
        <v>29.95677167118338</v>
      </c>
      <c r="H66" s="1167">
        <f>$D$14+(-H52/H37/$J$9)</f>
        <v>27.30313188798554</v>
      </c>
      <c r="I66" s="1168"/>
      <c r="J66" s="18" t="s">
        <v>215</v>
      </c>
      <c r="K66" s="14"/>
      <c r="L66"/>
      <c r="M66"/>
      <c r="N66"/>
      <c r="O66"/>
      <c r="P66"/>
      <c r="Q66"/>
      <c r="R66"/>
      <c r="S66"/>
      <c r="T66"/>
    </row>
    <row r="67" spans="2:20" ht="26.25" customHeight="1" thickBot="1">
      <c r="B67" s="163"/>
      <c r="C67" s="163"/>
      <c r="D67" s="163"/>
      <c r="E67" s="164"/>
      <c r="F67" s="165"/>
      <c r="G67" s="165"/>
      <c r="H67" s="166"/>
      <c r="I67" s="167"/>
      <c r="J67" s="14"/>
      <c r="K67" s="14"/>
      <c r="L67"/>
      <c r="M67"/>
      <c r="N67"/>
      <c r="O67"/>
      <c r="P67"/>
      <c r="Q67"/>
      <c r="R67"/>
      <c r="S67"/>
      <c r="T67"/>
    </row>
    <row r="68" spans="2:20" ht="33" customHeight="1" thickBot="1">
      <c r="B68" s="1284" t="s">
        <v>176</v>
      </c>
      <c r="C68" s="1285"/>
      <c r="D68" s="1285"/>
      <c r="E68" s="1285"/>
      <c r="F68" s="1285"/>
      <c r="G68" s="1285"/>
      <c r="H68" s="1286" t="str">
        <f>H2</f>
        <v>Vers. 3.5
(10/2016 )</v>
      </c>
      <c r="I68" s="1287"/>
      <c r="J68" s="14"/>
      <c r="K68" s="14"/>
      <c r="L68"/>
      <c r="M68"/>
      <c r="N68"/>
      <c r="O68"/>
      <c r="P68"/>
      <c r="Q68"/>
      <c r="R68"/>
      <c r="S68"/>
      <c r="T68"/>
    </row>
    <row r="69" spans="2:20" ht="10.5" customHeight="1">
      <c r="B69" s="126"/>
      <c r="C69" s="126"/>
      <c r="D69" s="126"/>
      <c r="E69" s="126"/>
      <c r="F69" s="126"/>
      <c r="G69" s="126"/>
      <c r="H69" s="126"/>
      <c r="I69" s="126"/>
      <c r="J69" s="14"/>
      <c r="K69" s="14"/>
      <c r="L69"/>
      <c r="M69"/>
      <c r="N69"/>
      <c r="O69"/>
      <c r="P69"/>
      <c r="Q69"/>
      <c r="R69"/>
      <c r="S69"/>
      <c r="T69"/>
    </row>
    <row r="70" spans="2:20" ht="18.75" customHeight="1">
      <c r="B70" s="168" t="s">
        <v>41</v>
      </c>
      <c r="C70" s="168"/>
      <c r="D70" s="429" t="s">
        <v>1</v>
      </c>
      <c r="E70" s="169"/>
      <c r="F70" s="430" t="str">
        <f>F4</f>
        <v>Anfang Oktober 2016</v>
      </c>
      <c r="G70" s="431" t="str">
        <f>G4</f>
        <v>Datum: </v>
      </c>
      <c r="H70" s="1306">
        <f>H4</f>
        <v>42647</v>
      </c>
      <c r="I70" s="1307"/>
      <c r="K70" s="14"/>
      <c r="L70"/>
      <c r="M70"/>
      <c r="N70"/>
      <c r="O70"/>
      <c r="P70"/>
      <c r="Q70"/>
      <c r="R70"/>
      <c r="S70"/>
      <c r="T70"/>
    </row>
    <row r="71" spans="2:20" ht="6.75" customHeight="1">
      <c r="B71" s="168"/>
      <c r="C71" s="168"/>
      <c r="D71" s="429"/>
      <c r="E71" s="169"/>
      <c r="F71" s="851"/>
      <c r="G71" s="431"/>
      <c r="H71" s="851"/>
      <c r="I71" s="851"/>
      <c r="J71" s="19"/>
      <c r="K71" s="14"/>
      <c r="L71"/>
      <c r="M71"/>
      <c r="N71"/>
      <c r="O71"/>
      <c r="P71"/>
      <c r="Q71"/>
      <c r="R71"/>
      <c r="S71"/>
      <c r="T71"/>
    </row>
    <row r="72" spans="2:20" ht="18.75" customHeight="1">
      <c r="B72" s="29" t="s">
        <v>245</v>
      </c>
      <c r="C72" s="1037"/>
      <c r="D72" s="1038" t="s">
        <v>246</v>
      </c>
      <c r="E72" s="770">
        <f>IF(E6="","",E6)</f>
      </c>
      <c r="F72" s="748" t="s">
        <v>265</v>
      </c>
      <c r="G72" s="431"/>
      <c r="H72" s="916" t="str">
        <f>H6</f>
        <v>Pauschalierung </v>
      </c>
      <c r="I72" s="913" t="str">
        <f>IF(I6="","",I6)</f>
        <v>x</v>
      </c>
      <c r="J72" s="32" t="s">
        <v>298</v>
      </c>
      <c r="K72" s="14"/>
      <c r="L72"/>
      <c r="M72"/>
      <c r="N72"/>
      <c r="O72"/>
      <c r="P72"/>
      <c r="Q72"/>
      <c r="R72"/>
      <c r="S72"/>
      <c r="T72"/>
    </row>
    <row r="73" spans="2:20" ht="17.25" customHeight="1">
      <c r="B73" s="168"/>
      <c r="C73" s="168"/>
      <c r="D73" s="766" t="s">
        <v>235</v>
      </c>
      <c r="E73" s="770" t="str">
        <f>E7</f>
        <v>X</v>
      </c>
      <c r="F73" s="126"/>
      <c r="G73" s="126"/>
      <c r="H73" s="916" t="str">
        <f>H7</f>
        <v>Regelbesteuerung </v>
      </c>
      <c r="I73" s="914">
        <f>I7</f>
      </c>
      <c r="J73" s="32" t="s">
        <v>299</v>
      </c>
      <c r="K73" s="14"/>
      <c r="L73"/>
      <c r="M73"/>
      <c r="N73"/>
      <c r="O73"/>
      <c r="P73"/>
      <c r="Q73"/>
      <c r="R73"/>
      <c r="S73"/>
      <c r="T73"/>
    </row>
    <row r="74" spans="2:20" ht="13.5" customHeight="1" thickBot="1">
      <c r="B74" s="126"/>
      <c r="C74" s="126"/>
      <c r="D74" s="126"/>
      <c r="E74" s="126"/>
      <c r="F74" s="126"/>
      <c r="G74" s="126"/>
      <c r="H74" s="126"/>
      <c r="I74" s="126"/>
      <c r="J74" s="1046" t="s">
        <v>3</v>
      </c>
      <c r="K74" s="14"/>
      <c r="L74"/>
      <c r="M74"/>
      <c r="N74"/>
      <c r="O74"/>
      <c r="P74"/>
      <c r="Q74"/>
      <c r="R74"/>
      <c r="S74"/>
      <c r="T74"/>
    </row>
    <row r="75" spans="2:20" ht="20.25" customHeight="1">
      <c r="B75" s="861" t="s">
        <v>4</v>
      </c>
      <c r="C75" s="862"/>
      <c r="D75" s="936">
        <f>D9</f>
        <v>0.107</v>
      </c>
      <c r="E75" s="863"/>
      <c r="F75" s="860" t="str">
        <f>F9</f>
        <v>Zinssatz für gebundenes Gebäudekapital ( i )</v>
      </c>
      <c r="G75" s="864"/>
      <c r="H75" s="865">
        <f>H9</f>
        <v>3</v>
      </c>
      <c r="I75" s="866" t="s">
        <v>5</v>
      </c>
      <c r="J75" s="867">
        <f>J9</f>
        <v>1.107</v>
      </c>
      <c r="K75" s="14"/>
      <c r="L75"/>
      <c r="M75"/>
      <c r="N75"/>
      <c r="O75"/>
      <c r="P75"/>
      <c r="Q75"/>
      <c r="R75"/>
      <c r="S75"/>
      <c r="T75"/>
    </row>
    <row r="76" spans="2:20" ht="20.25" customHeight="1" thickBot="1">
      <c r="B76" s="868" t="s">
        <v>42</v>
      </c>
      <c r="C76" s="869"/>
      <c r="D76" s="937">
        <f>D11</f>
        <v>0.07</v>
      </c>
      <c r="E76" s="870"/>
      <c r="F76" s="871" t="s">
        <v>7</v>
      </c>
      <c r="G76" s="872"/>
      <c r="H76" s="873">
        <f>H11</f>
        <v>15.75</v>
      </c>
      <c r="I76" s="874" t="s">
        <v>117</v>
      </c>
      <c r="J76" s="875">
        <f>J11</f>
        <v>1.07</v>
      </c>
      <c r="K76" s="14"/>
      <c r="L76"/>
      <c r="M76"/>
      <c r="N76"/>
      <c r="O76"/>
      <c r="P76"/>
      <c r="Q76"/>
      <c r="R76"/>
      <c r="S76"/>
      <c r="T76"/>
    </row>
    <row r="77" spans="2:20" ht="22.5" customHeight="1" thickBot="1">
      <c r="B77" s="432" t="s">
        <v>250</v>
      </c>
      <c r="C77" s="332"/>
      <c r="D77" s="126"/>
      <c r="E77" s="126"/>
      <c r="F77" s="126"/>
      <c r="G77" s="126"/>
      <c r="H77" s="126"/>
      <c r="I77" s="126"/>
      <c r="J77"/>
      <c r="K77" s="19"/>
      <c r="L77" s="8"/>
      <c r="M77" s="9"/>
      <c r="N77" s="10"/>
      <c r="O77"/>
      <c r="P77"/>
      <c r="Q77"/>
      <c r="R77"/>
      <c r="S77"/>
      <c r="T77"/>
    </row>
    <row r="78" spans="2:20" ht="30.75" customHeight="1">
      <c r="B78" s="433" t="s">
        <v>43</v>
      </c>
      <c r="C78" s="385"/>
      <c r="D78" s="175"/>
      <c r="E78" s="175"/>
      <c r="F78" s="175"/>
      <c r="G78" s="175"/>
      <c r="H78" s="175"/>
      <c r="I78" s="176"/>
      <c r="J78" s="14"/>
      <c r="K78" s="14"/>
      <c r="L78"/>
      <c r="M78"/>
      <c r="N78"/>
      <c r="O78"/>
      <c r="P78"/>
      <c r="Q78"/>
      <c r="R78"/>
      <c r="S78"/>
      <c r="T78"/>
    </row>
    <row r="79" spans="2:20" ht="20.25" customHeight="1">
      <c r="B79" s="540" t="s">
        <v>44</v>
      </c>
      <c r="C79" s="541"/>
      <c r="D79" s="435">
        <v>95</v>
      </c>
      <c r="E79" s="551" t="s">
        <v>10</v>
      </c>
      <c r="F79" s="1269" t="s">
        <v>293</v>
      </c>
      <c r="G79" s="1270"/>
      <c r="H79" s="558">
        <f>D16</f>
        <v>30</v>
      </c>
      <c r="I79" s="551" t="s">
        <v>10</v>
      </c>
      <c r="K79" s="14"/>
      <c r="L79"/>
      <c r="M79"/>
      <c r="N79"/>
      <c r="O79"/>
      <c r="P79"/>
      <c r="Q79"/>
      <c r="R79"/>
      <c r="S79"/>
      <c r="T79"/>
    </row>
    <row r="80" spans="2:20" ht="20.25" customHeight="1">
      <c r="B80" s="540" t="s">
        <v>45</v>
      </c>
      <c r="C80" s="541"/>
      <c r="D80" s="435">
        <v>79</v>
      </c>
      <c r="E80" s="551" t="s">
        <v>5</v>
      </c>
      <c r="F80" s="555" t="str">
        <f>B14</f>
        <v>Ferkelbasispreis 25 kg, 200 er Gruppe (o. Mwst)</v>
      </c>
      <c r="G80" s="555"/>
      <c r="H80" s="558">
        <f>D14</f>
        <v>54</v>
      </c>
      <c r="I80" s="551" t="s">
        <v>114</v>
      </c>
      <c r="J80" s="14"/>
      <c r="M80"/>
      <c r="N80"/>
      <c r="O80" s="684" t="s">
        <v>117</v>
      </c>
      <c r="P80" s="684" t="s">
        <v>5</v>
      </c>
      <c r="Q80"/>
      <c r="R80"/>
      <c r="S80"/>
      <c r="T80"/>
    </row>
    <row r="81" spans="2:20" ht="20.25" customHeight="1">
      <c r="B81" s="542" t="s">
        <v>230</v>
      </c>
      <c r="C81" s="543"/>
      <c r="D81" s="1173">
        <v>1.75</v>
      </c>
      <c r="E81" s="551" t="s">
        <v>117</v>
      </c>
      <c r="F81" s="555" t="s">
        <v>307</v>
      </c>
      <c r="G81" s="555"/>
      <c r="H81" s="755">
        <f>D18+D19</f>
        <v>5.5</v>
      </c>
      <c r="I81" s="551" t="s">
        <v>114</v>
      </c>
      <c r="K81" s="16" t="s">
        <v>188</v>
      </c>
      <c r="L81" s="5"/>
      <c r="M81" s="5"/>
      <c r="N81" s="5"/>
      <c r="O81" s="677">
        <f>G107</f>
        <v>71.69</v>
      </c>
      <c r="P81" s="687">
        <f>O81/$O$95</f>
        <v>0.41138705217872257</v>
      </c>
      <c r="Q81" s="5"/>
      <c r="R81"/>
      <c r="S81"/>
      <c r="T81"/>
    </row>
    <row r="82" spans="2:24" ht="20.25" customHeight="1">
      <c r="B82" s="542" t="s">
        <v>217</v>
      </c>
      <c r="C82" s="543"/>
      <c r="D82" s="412"/>
      <c r="E82" s="1137" t="s">
        <v>118</v>
      </c>
      <c r="F82" s="555" t="s">
        <v>177</v>
      </c>
      <c r="G82" s="555"/>
      <c r="H82" s="412">
        <v>2.5</v>
      </c>
      <c r="I82" s="551" t="s">
        <v>114</v>
      </c>
      <c r="K82" s="16" t="s">
        <v>187</v>
      </c>
      <c r="L82" s="5"/>
      <c r="M82" s="5"/>
      <c r="N82" s="5"/>
      <c r="O82" s="677">
        <f>G108</f>
        <v>70.01389240506329</v>
      </c>
      <c r="P82" s="687">
        <f>O82/$O$95</f>
        <v>0.4017688493245535</v>
      </c>
      <c r="Q82" s="6"/>
      <c r="R82" s="5"/>
      <c r="S82" s="5"/>
      <c r="T82" s="4"/>
      <c r="U82" s="4"/>
      <c r="V82" s="4"/>
      <c r="W82" s="4"/>
      <c r="X82" s="4"/>
    </row>
    <row r="83" spans="2:24" ht="20.25" customHeight="1">
      <c r="B83" s="544" t="s">
        <v>321</v>
      </c>
      <c r="C83" s="545"/>
      <c r="D83" s="1189"/>
      <c r="E83" s="552" t="s">
        <v>320</v>
      </c>
      <c r="F83" s="1138"/>
      <c r="G83" s="1139"/>
      <c r="H83" s="1140"/>
      <c r="I83" s="1141"/>
      <c r="K83" s="16"/>
      <c r="L83" s="5"/>
      <c r="M83" s="5"/>
      <c r="N83" s="5"/>
      <c r="O83" s="677"/>
      <c r="P83" s="687"/>
      <c r="Q83" s="6"/>
      <c r="R83" s="5"/>
      <c r="S83" s="5"/>
      <c r="T83" s="4"/>
      <c r="U83" s="4"/>
      <c r="V83" s="4"/>
      <c r="W83" s="4"/>
      <c r="X83" s="4"/>
    </row>
    <row r="84" spans="2:24" ht="20.25" customHeight="1">
      <c r="B84" s="542" t="s">
        <v>362</v>
      </c>
      <c r="C84" s="543"/>
      <c r="D84" s="1172">
        <v>25</v>
      </c>
      <c r="E84" s="551" t="s">
        <v>115</v>
      </c>
      <c r="F84" s="547" t="s">
        <v>180</v>
      </c>
      <c r="G84" s="556"/>
      <c r="H84" s="559">
        <f>(D16-D15)*D17</f>
        <v>5</v>
      </c>
      <c r="I84" s="553" t="s">
        <v>114</v>
      </c>
      <c r="J84" s="31"/>
      <c r="K84" s="675" t="str">
        <f aca="true" t="shared" si="8" ref="K84:K89">F87</f>
        <v>Tierarzt, Medikamente</v>
      </c>
      <c r="L84" s="299"/>
      <c r="M84" s="5"/>
      <c r="N84" s="5"/>
      <c r="O84" s="678">
        <f>G87</f>
        <v>0.7</v>
      </c>
      <c r="P84" s="687">
        <f aca="true" t="shared" si="9" ref="P84:P90">O84/$O$95</f>
        <v>0.004016891289232888</v>
      </c>
      <c r="Q84" s="6"/>
      <c r="R84" s="5"/>
      <c r="S84" s="6"/>
      <c r="T84" s="4"/>
      <c r="U84" s="4"/>
      <c r="V84" s="4"/>
      <c r="W84" s="4"/>
      <c r="X84" s="4"/>
    </row>
    <row r="85" spans="2:24" ht="20.25" customHeight="1">
      <c r="B85" s="540" t="s">
        <v>170</v>
      </c>
      <c r="C85" s="546" t="s">
        <v>171</v>
      </c>
      <c r="D85" s="412">
        <v>2.9</v>
      </c>
      <c r="E85" s="551"/>
      <c r="F85" s="540" t="s">
        <v>123</v>
      </c>
      <c r="G85" s="557"/>
      <c r="H85" s="558">
        <f>SUM(H87:H92)</f>
        <v>10.402931340809303</v>
      </c>
      <c r="I85" s="551" t="s">
        <v>114</v>
      </c>
      <c r="J85" s="31"/>
      <c r="K85" s="675" t="str">
        <f t="shared" si="8"/>
        <v>Verluste, Versicherungen</v>
      </c>
      <c r="L85" s="5"/>
      <c r="M85" s="5"/>
      <c r="N85" s="5"/>
      <c r="O85" s="678">
        <f>G88</f>
        <v>2.5</v>
      </c>
      <c r="P85" s="687">
        <f t="shared" si="9"/>
        <v>0.014346040318688889</v>
      </c>
      <c r="Q85" s="6"/>
      <c r="R85" s="5"/>
      <c r="S85" s="6"/>
      <c r="T85" s="4"/>
      <c r="U85" s="4"/>
      <c r="V85" s="4"/>
      <c r="W85" s="4"/>
      <c r="X85" s="4"/>
    </row>
    <row r="86" spans="2:24" ht="20.25" customHeight="1">
      <c r="B86" s="547" t="s">
        <v>46</v>
      </c>
      <c r="C86" s="548"/>
      <c r="D86" s="434">
        <v>750</v>
      </c>
      <c r="E86" s="553" t="s">
        <v>47</v>
      </c>
      <c r="F86" s="540" t="s">
        <v>13</v>
      </c>
      <c r="G86" s="1010" t="s">
        <v>267</v>
      </c>
      <c r="H86" s="1016"/>
      <c r="I86" s="1017"/>
      <c r="J86" s="31"/>
      <c r="K86" s="675" t="str">
        <f t="shared" si="8"/>
        <v>Energie, Wasser</v>
      </c>
      <c r="L86" s="5"/>
      <c r="M86" s="5"/>
      <c r="N86" s="5"/>
      <c r="O86" s="678">
        <f>G89</f>
        <v>4</v>
      </c>
      <c r="P86" s="687">
        <f t="shared" si="9"/>
        <v>0.022953664509902223</v>
      </c>
      <c r="Q86" s="6"/>
      <c r="R86" s="5"/>
      <c r="S86" s="6"/>
      <c r="T86" s="4"/>
      <c r="U86" s="4"/>
      <c r="V86" s="4"/>
      <c r="W86" s="4"/>
      <c r="X86" s="4"/>
    </row>
    <row r="87" spans="2:24" ht="20.25" customHeight="1">
      <c r="B87" s="540" t="s">
        <v>48</v>
      </c>
      <c r="C87" s="541"/>
      <c r="D87" s="416">
        <v>10</v>
      </c>
      <c r="E87" s="551" t="s">
        <v>49</v>
      </c>
      <c r="F87" s="1199" t="s">
        <v>14</v>
      </c>
      <c r="G87" s="412">
        <v>0.7</v>
      </c>
      <c r="H87" s="932">
        <f>IF($I$73="",G87,G87/J87)</f>
        <v>0.7</v>
      </c>
      <c r="I87" s="551" t="s">
        <v>114</v>
      </c>
      <c r="J87" s="931">
        <f>1+$D$10</f>
        <v>1.19</v>
      </c>
      <c r="K87" s="675" t="str">
        <f t="shared" si="8"/>
        <v>var. Maschinenkosten inkl. Gülleausbr.</v>
      </c>
      <c r="L87" s="5"/>
      <c r="M87" s="5"/>
      <c r="N87" s="5"/>
      <c r="O87" s="678">
        <f>G90</f>
        <v>2</v>
      </c>
      <c r="P87" s="687">
        <f t="shared" si="9"/>
        <v>0.011476832254951112</v>
      </c>
      <c r="Q87" s="6"/>
      <c r="R87" s="5"/>
      <c r="S87" s="6"/>
      <c r="T87" s="4"/>
      <c r="U87" s="4"/>
      <c r="V87" s="4"/>
      <c r="W87" s="4"/>
      <c r="X87" s="4"/>
    </row>
    <row r="88" spans="2:24" ht="20.25" customHeight="1">
      <c r="B88" s="547" t="s">
        <v>50</v>
      </c>
      <c r="C88" s="548"/>
      <c r="D88" s="559">
        <f>365/((G103-G106)/D86*1000+D87)</f>
        <v>2.8004208481709294</v>
      </c>
      <c r="E88" s="553"/>
      <c r="F88" s="1199" t="s">
        <v>15</v>
      </c>
      <c r="G88" s="412">
        <v>2.5</v>
      </c>
      <c r="H88" s="932">
        <f aca="true" t="shared" si="10" ref="H88:H93">IF($I$73="",G88,G88/J88)</f>
        <v>2.5</v>
      </c>
      <c r="I88" s="551" t="s">
        <v>114</v>
      </c>
      <c r="J88" s="931">
        <f>1+$D$9</f>
        <v>1.107</v>
      </c>
      <c r="K88" s="675" t="str">
        <f t="shared" si="8"/>
        <v>Beratung, Kontrolle</v>
      </c>
      <c r="L88" s="5"/>
      <c r="M88" s="5"/>
      <c r="N88" s="5"/>
      <c r="O88" s="678">
        <f>G91</f>
        <v>0.35</v>
      </c>
      <c r="P88" s="687">
        <f t="shared" si="9"/>
        <v>0.002008445644616444</v>
      </c>
      <c r="Q88" s="6"/>
      <c r="R88" s="5"/>
      <c r="S88" s="6"/>
      <c r="T88" s="4"/>
      <c r="U88" s="4"/>
      <c r="V88" s="4"/>
      <c r="W88" s="4"/>
      <c r="X88" s="4"/>
    </row>
    <row r="89" spans="2:24" ht="20.25" customHeight="1">
      <c r="B89" s="540" t="s">
        <v>8</v>
      </c>
      <c r="C89" s="541"/>
      <c r="D89" s="435">
        <v>0.6</v>
      </c>
      <c r="E89" s="551" t="s">
        <v>9</v>
      </c>
      <c r="F89" s="1199" t="s">
        <v>18</v>
      </c>
      <c r="G89" s="412">
        <v>4</v>
      </c>
      <c r="H89" s="932">
        <f t="shared" si="10"/>
        <v>4</v>
      </c>
      <c r="I89" s="551" t="s">
        <v>114</v>
      </c>
      <c r="J89" s="931">
        <f>1+$D$10</f>
        <v>1.19</v>
      </c>
      <c r="K89" s="675" t="str">
        <f t="shared" si="8"/>
        <v>Zinsansatz Umlaufvermögen</v>
      </c>
      <c r="L89" s="5"/>
      <c r="M89" s="5"/>
      <c r="N89" s="5"/>
      <c r="O89" s="678">
        <f>H92</f>
        <v>0.852931340809304</v>
      </c>
      <c r="P89" s="687">
        <f t="shared" si="9"/>
        <v>0.004894474961729459</v>
      </c>
      <c r="Q89" s="6"/>
      <c r="R89" s="5"/>
      <c r="S89" s="6"/>
      <c r="T89" s="4"/>
      <c r="U89" s="4"/>
      <c r="V89" s="4"/>
      <c r="W89" s="4"/>
      <c r="X89" s="4"/>
    </row>
    <row r="90" spans="2:24" ht="20.25" customHeight="1">
      <c r="B90" s="547" t="s">
        <v>284</v>
      </c>
      <c r="C90" s="935"/>
      <c r="D90" s="434">
        <v>8</v>
      </c>
      <c r="E90" s="553" t="s">
        <v>117</v>
      </c>
      <c r="F90" s="1199" t="s">
        <v>169</v>
      </c>
      <c r="G90" s="412">
        <v>2</v>
      </c>
      <c r="H90" s="932">
        <f t="shared" si="10"/>
        <v>2</v>
      </c>
      <c r="I90" s="551" t="s">
        <v>114</v>
      </c>
      <c r="J90" s="931">
        <f>1+$D$10</f>
        <v>1.19</v>
      </c>
      <c r="K90" s="16" t="s">
        <v>193</v>
      </c>
      <c r="L90" s="299"/>
      <c r="M90" s="299"/>
      <c r="N90" s="299"/>
      <c r="O90" s="678">
        <f>G98*J75</f>
        <v>-4.428</v>
      </c>
      <c r="P90" s="687">
        <f t="shared" si="9"/>
        <v>-0.02540970661246176</v>
      </c>
      <c r="R90" s="5"/>
      <c r="S90" s="6"/>
      <c r="T90" s="4"/>
      <c r="U90" s="4"/>
      <c r="V90" s="4"/>
      <c r="W90" s="4"/>
      <c r="X90" s="4"/>
    </row>
    <row r="91" spans="2:24" ht="20.25" customHeight="1">
      <c r="B91" s="1039" t="s">
        <v>325</v>
      </c>
      <c r="C91" s="421"/>
      <c r="D91" s="847">
        <v>600</v>
      </c>
      <c r="E91" s="425" t="s">
        <v>116</v>
      </c>
      <c r="F91" s="1199" t="s">
        <v>22</v>
      </c>
      <c r="G91" s="412">
        <v>0.35</v>
      </c>
      <c r="H91" s="932">
        <f t="shared" si="10"/>
        <v>0.35</v>
      </c>
      <c r="I91" s="551" t="s">
        <v>114</v>
      </c>
      <c r="J91" s="931">
        <f>1+$D$10</f>
        <v>1.19</v>
      </c>
      <c r="K91" s="16"/>
      <c r="L91" s="299"/>
      <c r="M91" s="299"/>
      <c r="N91" s="299"/>
      <c r="O91" s="678"/>
      <c r="P91" s="687"/>
      <c r="R91" s="5"/>
      <c r="S91" s="6"/>
      <c r="T91" s="4"/>
      <c r="U91" s="4"/>
      <c r="V91" s="4"/>
      <c r="W91" s="4"/>
      <c r="X91" s="4"/>
    </row>
    <row r="92" spans="2:24" ht="20.25" customHeight="1">
      <c r="B92" s="1039" t="s">
        <v>326</v>
      </c>
      <c r="C92" s="421"/>
      <c r="D92" s="774">
        <f>IF($E$7="",D91*$J$10-D91*$H$10%,D91*$J$10)</f>
        <v>714</v>
      </c>
      <c r="E92" s="425" t="s">
        <v>116</v>
      </c>
      <c r="F92" s="1200" t="s">
        <v>269</v>
      </c>
      <c r="G92" s="1204">
        <f>G30</f>
        <v>0.02</v>
      </c>
      <c r="H92" s="559">
        <f>(G107+0.6*(H87+H88+H89+H90+H91+G108))/D88*G92</f>
        <v>0.852931340809304</v>
      </c>
      <c r="I92" s="553" t="s">
        <v>114</v>
      </c>
      <c r="J92" s="931"/>
      <c r="K92" s="16" t="s">
        <v>189</v>
      </c>
      <c r="L92" s="5"/>
      <c r="M92" s="5"/>
      <c r="N92" s="5"/>
      <c r="O92" s="677">
        <f>G114/D88</f>
        <v>19.122125888676955</v>
      </c>
      <c r="P92" s="687">
        <f>O92/$O$95</f>
        <v>0.10973071559120168</v>
      </c>
      <c r="Q92" s="6"/>
      <c r="R92" s="5"/>
      <c r="S92" s="6"/>
      <c r="T92" s="4"/>
      <c r="U92" s="4"/>
      <c r="V92" s="4"/>
      <c r="W92" s="4"/>
      <c r="X92" s="4"/>
    </row>
    <row r="93" spans="2:24" ht="20.25" customHeight="1">
      <c r="B93" s="540" t="s">
        <v>337</v>
      </c>
      <c r="C93" s="541"/>
      <c r="D93" s="409">
        <v>20</v>
      </c>
      <c r="E93" s="551" t="s">
        <v>24</v>
      </c>
      <c r="F93" s="543" t="s">
        <v>51</v>
      </c>
      <c r="G93" s="412">
        <v>2</v>
      </c>
      <c r="H93" s="932">
        <f t="shared" si="10"/>
        <v>2</v>
      </c>
      <c r="I93" s="551" t="s">
        <v>117</v>
      </c>
      <c r="J93" s="931">
        <f>1+$D$10</f>
        <v>1.19</v>
      </c>
      <c r="K93" s="676" t="s">
        <v>38</v>
      </c>
      <c r="L93" s="5"/>
      <c r="M93" s="5"/>
      <c r="N93" s="5"/>
      <c r="O93" s="677">
        <f>G115/D88</f>
        <v>0.7141783711924166</v>
      </c>
      <c r="P93" s="687">
        <f>O93/$O$95</f>
        <v>0.004098252683144787</v>
      </c>
      <c r="Q93" s="6"/>
      <c r="R93" s="5"/>
      <c r="S93" s="6"/>
      <c r="T93" s="4"/>
      <c r="U93" s="4"/>
      <c r="V93" s="4"/>
      <c r="W93" s="4"/>
      <c r="X93" s="4"/>
    </row>
    <row r="94" spans="2:24" ht="20.25" customHeight="1" thickBot="1">
      <c r="B94" s="549" t="s">
        <v>336</v>
      </c>
      <c r="C94" s="550"/>
      <c r="D94" s="436">
        <v>1</v>
      </c>
      <c r="E94" s="554" t="s">
        <v>5</v>
      </c>
      <c r="F94" s="549" t="s">
        <v>52</v>
      </c>
      <c r="G94" s="1018"/>
      <c r="H94" s="1034">
        <v>1.2</v>
      </c>
      <c r="I94" s="554" t="s">
        <v>29</v>
      </c>
      <c r="K94" s="31" t="s">
        <v>190</v>
      </c>
      <c r="L94" s="5"/>
      <c r="M94" s="5"/>
      <c r="N94" s="5"/>
      <c r="O94" s="678">
        <f>G118/D88</f>
        <v>6.7489856077683354</v>
      </c>
      <c r="P94" s="687">
        <f>O94/$O$95</f>
        <v>0.03872848785571823</v>
      </c>
      <c r="Q94" s="6"/>
      <c r="R94" s="5"/>
      <c r="S94" s="6"/>
      <c r="T94" s="4"/>
      <c r="U94" s="4"/>
      <c r="V94" s="4"/>
      <c r="W94" s="4"/>
      <c r="X94" s="4"/>
    </row>
    <row r="95" spans="2:24" ht="11.25" customHeight="1">
      <c r="B95" s="169"/>
      <c r="C95" s="169"/>
      <c r="D95" s="169"/>
      <c r="E95" s="169"/>
      <c r="F95" s="169"/>
      <c r="G95" s="169"/>
      <c r="H95" s="169"/>
      <c r="I95" s="169"/>
      <c r="J95" s="31"/>
      <c r="K95" s="692" t="s">
        <v>191</v>
      </c>
      <c r="L95" s="693"/>
      <c r="M95" s="693"/>
      <c r="N95" s="693"/>
      <c r="O95" s="694">
        <f>SUM(O81:O94)</f>
        <v>174.2641136135103</v>
      </c>
      <c r="P95" s="695">
        <f>O95/$O$95</f>
        <v>1</v>
      </c>
      <c r="Q95" s="6"/>
      <c r="R95" s="5"/>
      <c r="S95" s="6"/>
      <c r="T95" s="4"/>
      <c r="U95" s="4"/>
      <c r="V95" s="4"/>
      <c r="W95" s="4"/>
      <c r="X95" s="4"/>
    </row>
    <row r="96" spans="2:24" ht="8.25" customHeight="1" thickBot="1">
      <c r="B96" s="171"/>
      <c r="C96" s="171"/>
      <c r="D96" s="437"/>
      <c r="E96" s="171"/>
      <c r="F96" s="438"/>
      <c r="G96" s="171"/>
      <c r="H96" s="439"/>
      <c r="I96" s="171"/>
      <c r="J96" s="31"/>
      <c r="K96" s="31"/>
      <c r="L96" s="5"/>
      <c r="M96" s="5"/>
      <c r="N96" s="5"/>
      <c r="O96" s="678"/>
      <c r="P96" s="5"/>
      <c r="Q96" s="6"/>
      <c r="R96" s="5"/>
      <c r="S96" s="6"/>
      <c r="T96" s="4"/>
      <c r="U96" s="4"/>
      <c r="V96" s="4"/>
      <c r="W96" s="4"/>
      <c r="X96" s="4"/>
    </row>
    <row r="97" spans="2:24" s="299" customFormat="1" ht="24" customHeight="1">
      <c r="B97" s="488" t="s">
        <v>108</v>
      </c>
      <c r="C97" s="960" t="str">
        <f>IF($I$7="",$H$6,$H$7)</f>
        <v>Pauschalierung </v>
      </c>
      <c r="D97" s="443"/>
      <c r="E97" s="444"/>
      <c r="F97" s="1217" t="s">
        <v>351</v>
      </c>
      <c r="G97" s="589"/>
      <c r="H97" s="590"/>
      <c r="I97" s="591"/>
      <c r="J97" s="31"/>
      <c r="K97" s="676" t="s">
        <v>192</v>
      </c>
      <c r="L97" s="5"/>
      <c r="M97" s="5"/>
      <c r="N97" s="5"/>
      <c r="O97" s="678">
        <f>G101</f>
        <v>5.712</v>
      </c>
      <c r="P97" s="5"/>
      <c r="Q97" s="6"/>
      <c r="R97" s="5"/>
      <c r="S97" s="6"/>
      <c r="T97" s="440"/>
      <c r="U97" s="440"/>
      <c r="V97" s="440"/>
      <c r="W97" s="440"/>
      <c r="X97" s="440"/>
    </row>
    <row r="98" spans="2:24" s="299" customFormat="1" ht="20.25" customHeight="1" thickBot="1">
      <c r="B98" s="445"/>
      <c r="C98" s="961" t="str">
        <f>IF($E$7="","Mit Förderung","Ohne Förderung")</f>
        <v>Ohne Förderung</v>
      </c>
      <c r="D98" s="1077" t="str">
        <f>IF($E$6=0," ",$H$10/100)</f>
        <v> </v>
      </c>
      <c r="E98" s="446" t="s">
        <v>117</v>
      </c>
      <c r="F98" s="592">
        <v>-6</v>
      </c>
      <c r="G98" s="593">
        <v>-4</v>
      </c>
      <c r="H98" s="1280">
        <v>8</v>
      </c>
      <c r="I98" s="1281"/>
      <c r="J98" s="441"/>
      <c r="K98" s="1019" t="str">
        <f>B126</f>
        <v>Gesamte Erzeugungskosten beim kosten-</v>
      </c>
      <c r="L98" s="1020"/>
      <c r="M98" s="1020"/>
      <c r="N98" s="1020"/>
      <c r="O98" s="679"/>
      <c r="P98" s="442"/>
      <c r="Q98" s="6"/>
      <c r="R98" s="5"/>
      <c r="S98" s="6"/>
      <c r="T98" s="440"/>
      <c r="U98" s="440"/>
      <c r="V98" s="440"/>
      <c r="W98" s="440"/>
      <c r="X98" s="440"/>
    </row>
    <row r="99" spans="2:24" ht="20.25" customHeight="1">
      <c r="B99" s="560" t="s">
        <v>364</v>
      </c>
      <c r="C99" s="994">
        <f>D79</f>
        <v>95</v>
      </c>
      <c r="D99" s="995">
        <f>D81+D82</f>
        <v>1.75</v>
      </c>
      <c r="E99" s="572" t="s">
        <v>117</v>
      </c>
      <c r="F99" s="573">
        <f>G99</f>
        <v>184.03875</v>
      </c>
      <c r="G99" s="573">
        <f>($D$79*($D$81+$D$82))*$J$75+$D$83</f>
        <v>184.03875</v>
      </c>
      <c r="H99" s="574">
        <f>G99</f>
        <v>184.03875</v>
      </c>
      <c r="I99" s="575"/>
      <c r="J99" s="31"/>
      <c r="K99" s="1019" t="str">
        <f>B127</f>
        <v>deckenden Ferkelpreis </v>
      </c>
      <c r="L99" s="1020"/>
      <c r="M99" s="1020"/>
      <c r="N99" s="1020"/>
      <c r="O99" s="678">
        <f>O95-O97</f>
        <v>168.5521136135103</v>
      </c>
      <c r="P99" s="5"/>
      <c r="Q99" s="6"/>
      <c r="R99" s="5"/>
      <c r="S99" s="6"/>
      <c r="T99" s="4"/>
      <c r="U99" s="4"/>
      <c r="V99" s="4"/>
      <c r="W99" s="4"/>
      <c r="X99" s="4"/>
    </row>
    <row r="100" spans="2:24" ht="20.25" customHeight="1">
      <c r="B100" s="560" t="s">
        <v>350</v>
      </c>
      <c r="C100" s="561"/>
      <c r="D100" s="562"/>
      <c r="E100" s="572" t="s">
        <v>117</v>
      </c>
      <c r="F100" s="573">
        <f>F99+F98*$J$75</f>
        <v>177.39675</v>
      </c>
      <c r="G100" s="573">
        <f>G99+G98*$J$75</f>
        <v>179.61075</v>
      </c>
      <c r="H100" s="574">
        <f>H99+H98*$J$75</f>
        <v>192.89475</v>
      </c>
      <c r="I100" s="576"/>
      <c r="J100" s="31"/>
      <c r="K100" s="31"/>
      <c r="L100" s="5"/>
      <c r="M100" s="7"/>
      <c r="N100" s="5"/>
      <c r="O100" s="5"/>
      <c r="P100" s="5"/>
      <c r="Q100" s="6"/>
      <c r="R100" s="5"/>
      <c r="S100" s="6"/>
      <c r="T100" s="4"/>
      <c r="U100" s="4"/>
      <c r="V100" s="4"/>
      <c r="W100" s="4"/>
      <c r="X100" s="4"/>
    </row>
    <row r="101" spans="2:24" ht="20.25" customHeight="1">
      <c r="B101" s="560" t="s">
        <v>31</v>
      </c>
      <c r="C101" s="561"/>
      <c r="D101" s="562"/>
      <c r="E101" s="572" t="s">
        <v>117</v>
      </c>
      <c r="F101" s="573">
        <f>IF(I72="",D89*D90,D89*D90*(1+D10))</f>
        <v>5.712</v>
      </c>
      <c r="G101" s="573">
        <f>$F$101</f>
        <v>5.712</v>
      </c>
      <c r="H101" s="574">
        <f>G101</f>
        <v>5.712</v>
      </c>
      <c r="I101" s="575"/>
      <c r="J101" s="31"/>
      <c r="K101" s="31"/>
      <c r="L101" s="5"/>
      <c r="M101" s="7"/>
      <c r="N101" s="5"/>
      <c r="O101" s="5"/>
      <c r="P101" s="5"/>
      <c r="Q101" s="6"/>
      <c r="R101" s="5"/>
      <c r="S101" s="6"/>
      <c r="T101" s="4"/>
      <c r="U101" s="4"/>
      <c r="V101" s="4"/>
      <c r="W101" s="4"/>
      <c r="X101" s="4"/>
    </row>
    <row r="102" spans="2:24" ht="20.25" customHeight="1">
      <c r="B102" s="563" t="s">
        <v>178</v>
      </c>
      <c r="C102" s="564"/>
      <c r="D102" s="565"/>
      <c r="E102" s="577" t="s">
        <v>117</v>
      </c>
      <c r="F102" s="578">
        <f>F100+F101</f>
        <v>183.10875</v>
      </c>
      <c r="G102" s="578">
        <f>G100+G101</f>
        <v>185.32274999999998</v>
      </c>
      <c r="H102" s="579">
        <f>H100+H101</f>
        <v>198.60674999999998</v>
      </c>
      <c r="I102" s="580"/>
      <c r="J102" s="31"/>
      <c r="K102" s="31"/>
      <c r="L102" s="5"/>
      <c r="M102" s="7"/>
      <c r="N102" s="5"/>
      <c r="O102" s="5"/>
      <c r="P102" s="5"/>
      <c r="Q102" s="6"/>
      <c r="R102" s="5"/>
      <c r="S102" s="6"/>
      <c r="T102" s="4"/>
      <c r="U102" s="4"/>
      <c r="V102" s="4"/>
      <c r="W102" s="4"/>
      <c r="X102" s="4"/>
    </row>
    <row r="103" spans="2:24" ht="20.25" customHeight="1">
      <c r="B103" s="560" t="s">
        <v>53</v>
      </c>
      <c r="C103" s="561"/>
      <c r="D103" s="562"/>
      <c r="E103" s="572" t="s">
        <v>10</v>
      </c>
      <c r="F103" s="581"/>
      <c r="G103" s="582">
        <f>D79/D80*100</f>
        <v>120.25316455696202</v>
      </c>
      <c r="H103" s="583"/>
      <c r="I103" s="584"/>
      <c r="J103" s="30"/>
      <c r="K103" s="30"/>
      <c r="L103" s="4"/>
      <c r="M103" s="4"/>
      <c r="N103" s="4"/>
      <c r="O103" s="4"/>
      <c r="P103" s="4"/>
      <c r="Q103" s="4"/>
      <c r="R103" s="4"/>
      <c r="S103" s="4"/>
      <c r="T103" s="4"/>
      <c r="U103" s="4"/>
      <c r="V103" s="4"/>
      <c r="W103" s="4"/>
      <c r="X103" s="4"/>
    </row>
    <row r="104" spans="2:9" ht="20.25" customHeight="1">
      <c r="B104" s="560" t="s">
        <v>54</v>
      </c>
      <c r="C104" s="561"/>
      <c r="D104" s="562"/>
      <c r="E104" s="572" t="s">
        <v>10</v>
      </c>
      <c r="F104" s="581"/>
      <c r="G104" s="582">
        <f>G103-G106</f>
        <v>90.25316455696202</v>
      </c>
      <c r="H104" s="583"/>
      <c r="I104" s="584"/>
    </row>
    <row r="105" spans="2:9" ht="20.25" customHeight="1">
      <c r="B105" s="566" t="s">
        <v>55</v>
      </c>
      <c r="C105" s="567"/>
      <c r="D105" s="568"/>
      <c r="E105" s="572" t="s">
        <v>10</v>
      </c>
      <c r="F105" s="582"/>
      <c r="G105" s="582">
        <f>G104*$D$85</f>
        <v>261.73417721518985</v>
      </c>
      <c r="H105" s="574"/>
      <c r="I105" s="575"/>
    </row>
    <row r="106" spans="2:9" ht="20.25" customHeight="1">
      <c r="B106" s="569" t="s">
        <v>65</v>
      </c>
      <c r="C106" s="570"/>
      <c r="D106" s="571"/>
      <c r="E106" s="585" t="s">
        <v>10</v>
      </c>
      <c r="F106" s="963"/>
      <c r="G106" s="586">
        <f>$H$79</f>
        <v>30</v>
      </c>
      <c r="H106" s="964"/>
      <c r="I106" s="965"/>
    </row>
    <row r="107" spans="2:9" ht="20.25" customHeight="1">
      <c r="B107" s="560" t="s">
        <v>285</v>
      </c>
      <c r="C107" s="561"/>
      <c r="D107" s="562"/>
      <c r="E107" s="572" t="s">
        <v>117</v>
      </c>
      <c r="F107" s="582"/>
      <c r="G107" s="582">
        <f>(H80+H81+H82+H84)*J76</f>
        <v>71.69</v>
      </c>
      <c r="H107" s="574"/>
      <c r="I107" s="575"/>
    </row>
    <row r="108" spans="2:9" ht="20.25" customHeight="1">
      <c r="B108" s="560" t="s">
        <v>56</v>
      </c>
      <c r="C108" s="561"/>
      <c r="D108" s="562"/>
      <c r="E108" s="572" t="s">
        <v>117</v>
      </c>
      <c r="F108" s="582"/>
      <c r="G108" s="582">
        <f>G105*$D$84/100*$J$76</f>
        <v>70.01389240506329</v>
      </c>
      <c r="H108" s="574"/>
      <c r="I108" s="575"/>
    </row>
    <row r="109" spans="2:9" ht="20.25" customHeight="1">
      <c r="B109" s="569" t="s">
        <v>57</v>
      </c>
      <c r="C109" s="570"/>
      <c r="D109" s="571"/>
      <c r="E109" s="585" t="s">
        <v>117</v>
      </c>
      <c r="F109" s="586"/>
      <c r="G109" s="586">
        <f>H85</f>
        <v>10.402931340809303</v>
      </c>
      <c r="H109" s="587"/>
      <c r="I109" s="588"/>
    </row>
    <row r="110" spans="2:9" ht="28.5" customHeight="1">
      <c r="B110" s="447" t="s">
        <v>35</v>
      </c>
      <c r="C110" s="448"/>
      <c r="D110" s="449"/>
      <c r="E110" s="450" t="s">
        <v>117</v>
      </c>
      <c r="F110" s="450">
        <f>G110</f>
        <v>152.1068237458726</v>
      </c>
      <c r="G110" s="451">
        <f>G107+G108+G109</f>
        <v>152.1068237458726</v>
      </c>
      <c r="H110" s="452">
        <f>G110</f>
        <v>152.1068237458726</v>
      </c>
      <c r="I110" s="453"/>
    </row>
    <row r="111" spans="2:9" ht="21" customHeight="1">
      <c r="B111" s="710" t="s">
        <v>135</v>
      </c>
      <c r="C111" s="711"/>
      <c r="D111" s="712" t="s">
        <v>136</v>
      </c>
      <c r="E111" s="713" t="s">
        <v>117</v>
      </c>
      <c r="F111" s="883">
        <f>F102-F110</f>
        <v>31.001926254127397</v>
      </c>
      <c r="G111" s="883">
        <f>G102-G110</f>
        <v>33.215926254127396</v>
      </c>
      <c r="H111" s="884">
        <f>H102-H110</f>
        <v>46.49992625412739</v>
      </c>
      <c r="I111" s="714"/>
    </row>
    <row r="112" spans="2:10" ht="24.75" customHeight="1" thickBot="1">
      <c r="B112" s="705"/>
      <c r="C112" s="706"/>
      <c r="D112" s="707" t="s">
        <v>137</v>
      </c>
      <c r="E112" s="708" t="s">
        <v>117</v>
      </c>
      <c r="F112" s="885">
        <f>F111*$D$88</f>
        <v>86.81844061551605</v>
      </c>
      <c r="G112" s="885">
        <f>G111*$D$88</f>
        <v>93.01857237336648</v>
      </c>
      <c r="H112" s="886">
        <f>H111*$D$88</f>
        <v>130.21936292046908</v>
      </c>
      <c r="I112" s="709"/>
      <c r="J112" s="17"/>
    </row>
    <row r="113" spans="2:11" s="279" customFormat="1" ht="21" customHeight="1" hidden="1" thickBot="1">
      <c r="B113" s="1277" t="s">
        <v>148</v>
      </c>
      <c r="C113" s="1278"/>
      <c r="D113" s="1279"/>
      <c r="E113" s="468" t="s">
        <v>5</v>
      </c>
      <c r="F113" s="469">
        <f>F112/(F114+F115+F118)</f>
        <v>1.1661308343252659</v>
      </c>
      <c r="G113" s="469">
        <f>G112/(G114+G115+G118)</f>
        <v>1.2494099714354128</v>
      </c>
      <c r="H113" s="1312">
        <f>H112/(H114+H115+H118)</f>
        <v>1.749084794096294</v>
      </c>
      <c r="I113" s="1313"/>
      <c r="J113" s="300"/>
      <c r="K113" s="278"/>
    </row>
    <row r="114" spans="2:10" ht="21.75" customHeight="1">
      <c r="B114" s="454" t="s">
        <v>58</v>
      </c>
      <c r="C114" s="990">
        <f>D92</f>
        <v>714</v>
      </c>
      <c r="D114" s="1041">
        <f>100/D93+D94+H75/2</f>
        <v>7.5</v>
      </c>
      <c r="E114" s="455" t="s">
        <v>117</v>
      </c>
      <c r="F114" s="456">
        <f>G114</f>
        <v>53.550000000000004</v>
      </c>
      <c r="G114" s="457">
        <f>(D92/D93+(H75/2+D94)%*D92)</f>
        <v>53.550000000000004</v>
      </c>
      <c r="H114" s="458">
        <f>G114</f>
        <v>53.550000000000004</v>
      </c>
      <c r="I114" s="459"/>
      <c r="J114" s="17"/>
    </row>
    <row r="115" spans="2:10" ht="20.25" customHeight="1">
      <c r="B115" s="460" t="s">
        <v>59</v>
      </c>
      <c r="C115" s="461"/>
      <c r="D115" s="462"/>
      <c r="E115" s="463" t="s">
        <v>117</v>
      </c>
      <c r="F115" s="464">
        <f>H93</f>
        <v>2</v>
      </c>
      <c r="G115" s="465">
        <f>H93</f>
        <v>2</v>
      </c>
      <c r="H115" s="466">
        <f>H93</f>
        <v>2</v>
      </c>
      <c r="I115" s="467"/>
      <c r="J115" s="17"/>
    </row>
    <row r="116" spans="2:9" ht="27" customHeight="1">
      <c r="B116" s="470" t="str">
        <f>B57</f>
        <v>Arbeitseinkommen</v>
      </c>
      <c r="C116" s="1186"/>
      <c r="D116" s="1174" t="s">
        <v>138</v>
      </c>
      <c r="E116" s="1175" t="s">
        <v>117</v>
      </c>
      <c r="F116" s="1208">
        <f>F112-F114-F115</f>
        <v>31.26844061551605</v>
      </c>
      <c r="G116" s="1208">
        <f>G112-G114-G115</f>
        <v>37.46857237336648</v>
      </c>
      <c r="H116" s="1209">
        <f>H112-H114-H115</f>
        <v>74.66936292046907</v>
      </c>
      <c r="I116" s="1210"/>
    </row>
    <row r="117" spans="2:9" ht="21.75" customHeight="1">
      <c r="B117" s="472"/>
      <c r="C117" s="473"/>
      <c r="D117" s="476" t="s">
        <v>139</v>
      </c>
      <c r="E117" s="474" t="s">
        <v>117</v>
      </c>
      <c r="F117" s="881">
        <f>F116/$H$94</f>
        <v>26.057033846263376</v>
      </c>
      <c r="G117" s="881">
        <f>G116/$H$94</f>
        <v>31.22381031113873</v>
      </c>
      <c r="H117" s="882">
        <f>H116/$H$94</f>
        <v>62.22446910039089</v>
      </c>
      <c r="I117" s="475"/>
    </row>
    <row r="118" spans="2:11" ht="25.5" customHeight="1">
      <c r="B118" s="530" t="s">
        <v>60</v>
      </c>
      <c r="C118" s="991">
        <f>H94</f>
        <v>1.2</v>
      </c>
      <c r="D118" s="1042">
        <f>H76</f>
        <v>15.75</v>
      </c>
      <c r="E118" s="531" t="s">
        <v>117</v>
      </c>
      <c r="F118" s="992">
        <f>G118</f>
        <v>18.9</v>
      </c>
      <c r="G118" s="992">
        <f>$H$94*$H$11</f>
        <v>18.9</v>
      </c>
      <c r="H118" s="993">
        <f>G118</f>
        <v>18.9</v>
      </c>
      <c r="I118" s="534"/>
      <c r="J118" s="14"/>
      <c r="K118" s="14"/>
    </row>
    <row r="119" spans="2:9" ht="24" customHeight="1">
      <c r="B119" s="470" t="s">
        <v>93</v>
      </c>
      <c r="C119" s="471"/>
      <c r="D119" s="477"/>
      <c r="E119" s="478" t="s">
        <v>117</v>
      </c>
      <c r="F119" s="1211">
        <f>F116-F118</f>
        <v>12.36844061551605</v>
      </c>
      <c r="G119" s="1211">
        <f>G116-G118</f>
        <v>18.56857237336648</v>
      </c>
      <c r="H119" s="1212">
        <f>H116-H118</f>
        <v>55.76936292046907</v>
      </c>
      <c r="I119" s="1213"/>
    </row>
    <row r="120" spans="2:9" ht="23.25" customHeight="1">
      <c r="B120" s="472" t="s">
        <v>130</v>
      </c>
      <c r="C120" s="473"/>
      <c r="D120" s="479"/>
      <c r="E120" s="480" t="s">
        <v>5</v>
      </c>
      <c r="F120" s="726">
        <f>(F112-F115-F118-$D$92/$D$93-$D$92*$D$94%)/$D$92*2</f>
        <v>0.06464549192021304</v>
      </c>
      <c r="G120" s="726">
        <f>(G112-G115-G118-$D$92/$D$93-$D$92*$D$94%)/$D$92*2</f>
        <v>0.08201280776853354</v>
      </c>
      <c r="H120" s="1271">
        <f>(H112-H115-H118-$D$92/$D$93-$D$92*$D$94%)/$D$92*2</f>
        <v>0.1862167028584568</v>
      </c>
      <c r="I120" s="1272"/>
    </row>
    <row r="121" spans="2:9" ht="39" customHeight="1">
      <c r="B121" s="1275" t="s">
        <v>296</v>
      </c>
      <c r="C121" s="1276"/>
      <c r="D121" s="1036">
        <f>H80</f>
        <v>54</v>
      </c>
      <c r="E121" s="484" t="s">
        <v>117</v>
      </c>
      <c r="F121" s="485">
        <f>(F110-F98*$J$75+(F114+F115+F118)/$D$88-F101)</f>
        <v>179.6221136135103</v>
      </c>
      <c r="G121" s="486">
        <f>(G110-G98*$J$75+(G114+G115+G118)/$D$88-G101)</f>
        <v>177.4081136135103</v>
      </c>
      <c r="H121" s="1264">
        <f>(H110-H98*$J$75+(H114+H115+H118)/$D$88-H101)</f>
        <v>164.1241136135103</v>
      </c>
      <c r="I121" s="1265">
        <f>(I110-I98*$J$75+(I114+I115+I118)/$D$88-I101)</f>
        <v>0</v>
      </c>
    </row>
    <row r="122" spans="2:9" ht="24.75" customHeight="1">
      <c r="B122" s="1266" t="s">
        <v>220</v>
      </c>
      <c r="C122" s="1267"/>
      <c r="D122" s="1268"/>
      <c r="E122" s="484"/>
      <c r="F122" s="699"/>
      <c r="G122" s="699"/>
      <c r="H122" s="700"/>
      <c r="I122" s="701"/>
    </row>
    <row r="123" spans="2:9" ht="23.25" customHeight="1">
      <c r="B123" s="744" t="s">
        <v>360</v>
      </c>
      <c r="C123" s="745"/>
      <c r="D123" s="745"/>
      <c r="E123" s="671" t="s">
        <v>117</v>
      </c>
      <c r="F123" s="660">
        <f>(F110-F98*$J$75+(F114+F115+F118)/$D$88-F101)/$D$79/$J$75-$D$82</f>
        <v>1.7080027919318244</v>
      </c>
      <c r="G123" s="660">
        <f>(G110-G98*$J$75+(G114+G115+G118)/$D$88-G101)/$D$79/$J$75-$D$82</f>
        <v>1.686950160352877</v>
      </c>
      <c r="H123" s="1262">
        <f>(H110-H98*$J$75+(H114+H115+H118)/$D$88-H101)/$D$79/$J$75-$D$82</f>
        <v>1.5606343708791928</v>
      </c>
      <c r="I123" s="1263">
        <f>(I110-I98*$J$75+(I114+I115+I118)/$D$88-I101)/$D$79/$J$75-$D$82</f>
        <v>0</v>
      </c>
    </row>
    <row r="124" spans="2:9" ht="23.25" customHeight="1">
      <c r="B124" s="744" t="s">
        <v>361</v>
      </c>
      <c r="C124" s="745"/>
      <c r="D124" s="745"/>
      <c r="E124" s="671"/>
      <c r="F124" s="660">
        <f>F123-$D$83/$D$79</f>
        <v>1.7080027919318244</v>
      </c>
      <c r="G124" s="660">
        <f>G123-$D$83/$D$79</f>
        <v>1.686950160352877</v>
      </c>
      <c r="H124" s="1262">
        <f>H123-$D$83/$D$79</f>
        <v>1.5606343708791928</v>
      </c>
      <c r="I124" s="1263"/>
    </row>
    <row r="125" spans="2:9" ht="23.25" customHeight="1" thickBot="1">
      <c r="B125" s="746" t="s">
        <v>359</v>
      </c>
      <c r="C125" s="487"/>
      <c r="D125" s="487"/>
      <c r="E125" s="1188" t="s">
        <v>117</v>
      </c>
      <c r="F125" s="1187">
        <f>$D$81-F111/$D$79/$J$75</f>
        <v>1.4552068059323215</v>
      </c>
      <c r="G125" s="1187">
        <f>$D$81-G111/$D$79/$J$75</f>
        <v>1.4341541743533743</v>
      </c>
      <c r="H125" s="1304">
        <f>$D$81-H111/$D$79/$J$75</f>
        <v>1.3078383848796902</v>
      </c>
      <c r="I125" s="1305"/>
    </row>
    <row r="126" spans="2:9" ht="23.25" customHeight="1">
      <c r="B126" s="1301" t="s">
        <v>218</v>
      </c>
      <c r="C126" s="1302"/>
      <c r="D126" s="1303"/>
      <c r="E126" s="649"/>
      <c r="F126" s="650"/>
      <c r="G126" s="651"/>
      <c r="H126" s="652"/>
      <c r="I126" s="653"/>
    </row>
    <row r="127" spans="2:9" ht="17.25" customHeight="1">
      <c r="B127" s="1299" t="s">
        <v>219</v>
      </c>
      <c r="C127" s="1300"/>
      <c r="D127" s="720"/>
      <c r="E127" s="654" t="s">
        <v>117</v>
      </c>
      <c r="F127" s="655">
        <f>F121-(F60/F37)</f>
        <v>188.16971297714665</v>
      </c>
      <c r="G127" s="656">
        <f>G121-(G60/G37)</f>
        <v>179.1153848535103</v>
      </c>
      <c r="H127" s="1273">
        <f>H121-(H60/H37)</f>
        <v>160.456841327796</v>
      </c>
      <c r="I127" s="1274"/>
    </row>
    <row r="128" spans="2:9" ht="30" customHeight="1" thickBot="1">
      <c r="B128" s="657" t="s">
        <v>221</v>
      </c>
      <c r="C128" s="658"/>
      <c r="D128" s="658"/>
      <c r="E128" s="659" t="s">
        <v>117</v>
      </c>
      <c r="F128" s="661">
        <f>F123-(F60/F37/$D$79/$J$75)</f>
        <v>1.7892807776080129</v>
      </c>
      <c r="G128" s="662">
        <f>G123-(G60/G37/$D$79/$J$75)</f>
        <v>1.7031843755385376</v>
      </c>
      <c r="H128" s="1260">
        <f>H123-(H60/H37/$D$79/$J$75)</f>
        <v>1.5257627663937243</v>
      </c>
      <c r="I128" s="1261"/>
    </row>
    <row r="129" spans="2:9" ht="8.25" customHeight="1">
      <c r="B129" s="172"/>
      <c r="C129" s="172"/>
      <c r="D129" s="172"/>
      <c r="E129" s="648"/>
      <c r="F129" s="648"/>
      <c r="G129" s="648"/>
      <c r="H129" s="648"/>
      <c r="I129" s="648"/>
    </row>
    <row r="130" spans="2:9" ht="12.75">
      <c r="B130" s="172"/>
      <c r="C130" s="172"/>
      <c r="D130" s="172"/>
      <c r="E130" s="172"/>
      <c r="F130" s="172"/>
      <c r="G130" s="172"/>
      <c r="H130" s="172"/>
      <c r="I130" s="172"/>
    </row>
    <row r="131" spans="2:9" ht="12.75">
      <c r="B131" s="172"/>
      <c r="C131" s="172"/>
      <c r="D131" s="172"/>
      <c r="E131" s="172"/>
      <c r="F131" s="172"/>
      <c r="G131" s="172"/>
      <c r="H131" s="172"/>
      <c r="I131" s="172"/>
    </row>
    <row r="132" spans="2:9" ht="12.75">
      <c r="B132" s="172"/>
      <c r="C132" s="172"/>
      <c r="D132" s="172"/>
      <c r="E132" s="172"/>
      <c r="F132" s="172"/>
      <c r="G132" s="172"/>
      <c r="H132" s="172"/>
      <c r="I132" s="172"/>
    </row>
    <row r="133" ht="9" customHeight="1"/>
    <row r="138" ht="57" customHeight="1"/>
    <row r="139" ht="6" customHeight="1"/>
    <row r="140" ht="6" customHeight="1"/>
    <row r="141" ht="6" customHeight="1"/>
    <row r="142" ht="6" customHeight="1"/>
    <row r="143" ht="6" customHeight="1"/>
    <row r="144" ht="6" customHeight="1"/>
    <row r="145" ht="12.75" customHeight="1"/>
    <row r="147" ht="6" customHeight="1"/>
    <row r="162" ht="6.75" customHeight="1"/>
    <row r="163" spans="2:9" ht="12.75">
      <c r="B163" s="1"/>
      <c r="C163" s="1"/>
      <c r="D163" s="1"/>
      <c r="E163" s="1"/>
      <c r="F163" s="1"/>
      <c r="G163" s="1"/>
      <c r="H163" s="1"/>
      <c r="I163" s="1"/>
    </row>
    <row r="164" spans="2:9" ht="12.75">
      <c r="B164" s="1"/>
      <c r="C164" s="1"/>
      <c r="D164" s="1"/>
      <c r="E164" s="1"/>
      <c r="F164" s="1"/>
      <c r="G164" s="1"/>
      <c r="H164" s="1"/>
      <c r="I164" s="1"/>
    </row>
    <row r="172" ht="48" customHeight="1"/>
    <row r="174" ht="12.75" customHeight="1"/>
    <row r="190" ht="19.5" customHeight="1"/>
    <row r="191" ht="54" customHeight="1"/>
    <row r="192" ht="319.5" customHeight="1"/>
    <row r="193" ht="36.75" customHeight="1"/>
    <row r="194" ht="7.5" customHeight="1"/>
    <row r="195" ht="6" customHeight="1"/>
    <row r="198" spans="2:11" s="299" customFormat="1" ht="15">
      <c r="B198" s="663"/>
      <c r="C198" s="16"/>
      <c r="D198" s="16"/>
      <c r="E198" s="16"/>
      <c r="F198" s="666"/>
      <c r="G198" s="666"/>
      <c r="H198" s="666"/>
      <c r="I198" s="16"/>
      <c r="J198" s="16"/>
      <c r="K198" s="16"/>
    </row>
    <row r="199" spans="2:11" s="299" customFormat="1" ht="266.25" customHeight="1">
      <c r="B199" s="663"/>
      <c r="C199" s="16"/>
      <c r="D199" s="16"/>
      <c r="E199" s="16"/>
      <c r="F199" s="666"/>
      <c r="G199" s="666"/>
      <c r="H199" s="666"/>
      <c r="I199" s="16"/>
      <c r="J199" s="16"/>
      <c r="K199" s="16"/>
    </row>
    <row r="200" ht="257.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216"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42" ht="163.5" customHeight="1"/>
    <row r="243" ht="213" customHeight="1"/>
    <row r="244" ht="179.25" customHeight="1"/>
    <row r="245" ht="156.75" customHeight="1"/>
    <row r="246" ht="288" customHeight="1"/>
    <row r="247" ht="138.75" customHeight="1"/>
    <row r="248" ht="19.5" customHeight="1"/>
    <row r="249" spans="2:11" s="229" customFormat="1" ht="19.5" customHeight="1">
      <c r="B249" s="1225" t="s">
        <v>352</v>
      </c>
      <c r="C249" s="753"/>
      <c r="D249" s="753"/>
      <c r="E249" s="753"/>
      <c r="F249" s="753"/>
      <c r="G249" s="753"/>
      <c r="H249" s="753"/>
      <c r="I249" s="753"/>
      <c r="J249" s="753"/>
      <c r="K249" s="753"/>
    </row>
    <row r="250" spans="2:11" s="229" customFormat="1" ht="19.5" customHeight="1">
      <c r="B250" s="753"/>
      <c r="C250" s="753"/>
      <c r="D250" s="753"/>
      <c r="E250" s="753"/>
      <c r="F250" s="753"/>
      <c r="G250" s="753"/>
      <c r="H250" s="753"/>
      <c r="I250" s="753"/>
      <c r="J250" s="753"/>
      <c r="K250" s="753"/>
    </row>
    <row r="251" spans="1:11" s="229" customFormat="1" ht="19.5" customHeight="1">
      <c r="A251" s="1226"/>
      <c r="B251" s="1227"/>
      <c r="C251" s="1227"/>
      <c r="D251" s="1228"/>
      <c r="E251" s="1228"/>
      <c r="F251" s="1228" t="s">
        <v>354</v>
      </c>
      <c r="G251" s="1228"/>
      <c r="H251" s="1228"/>
      <c r="I251" s="1229"/>
      <c r="J251" s="753"/>
      <c r="K251" s="753"/>
    </row>
    <row r="252" spans="1:11" s="229" customFormat="1" ht="19.5" customHeight="1">
      <c r="A252" s="1230"/>
      <c r="B252" s="858"/>
      <c r="C252" s="1231"/>
      <c r="D252" s="1232">
        <f aca="true" t="shared" si="11" ref="D252:I252">$G$37+D253</f>
        <v>21</v>
      </c>
      <c r="E252" s="1232">
        <f t="shared" si="11"/>
        <v>23</v>
      </c>
      <c r="F252" s="1232">
        <f t="shared" si="11"/>
        <v>25</v>
      </c>
      <c r="G252" s="1232">
        <f t="shared" si="11"/>
        <v>27</v>
      </c>
      <c r="H252" s="1232">
        <f t="shared" si="11"/>
        <v>29</v>
      </c>
      <c r="I252" s="1233">
        <f t="shared" si="11"/>
        <v>31</v>
      </c>
      <c r="J252" s="753"/>
      <c r="K252" s="753"/>
    </row>
    <row r="253" spans="1:11" s="229" customFormat="1" ht="19.5" customHeight="1">
      <c r="A253" s="1234"/>
      <c r="B253" s="1235"/>
      <c r="C253" s="1236"/>
      <c r="D253" s="1237">
        <v>-4</v>
      </c>
      <c r="E253" s="1237">
        <v>-2</v>
      </c>
      <c r="F253" s="1237">
        <v>0</v>
      </c>
      <c r="G253" s="1237">
        <v>2</v>
      </c>
      <c r="H253" s="1237">
        <v>4</v>
      </c>
      <c r="I253" s="1238">
        <v>6</v>
      </c>
      <c r="J253" s="753"/>
      <c r="K253" s="753"/>
    </row>
    <row r="254" spans="2:11" s="229" customFormat="1" ht="19.5" customHeight="1">
      <c r="B254" s="753" t="s">
        <v>355</v>
      </c>
      <c r="D254" s="1218">
        <f>$F$254+D253*$K$50</f>
        <v>1198.006996</v>
      </c>
      <c r="E254" s="1218">
        <f>$F$254+E253*$K$50</f>
        <v>1232.743476</v>
      </c>
      <c r="F254" s="1219">
        <f>G50</f>
        <v>1267.479956</v>
      </c>
      <c r="G254" s="1219">
        <f>$F$254+G253*$K$50</f>
        <v>1302.2164359999997</v>
      </c>
      <c r="H254" s="1219">
        <f>$F$254+H253*$K$50</f>
        <v>1336.9529159999997</v>
      </c>
      <c r="I254" s="1219">
        <f>$F$254+I253*$K$50</f>
        <v>1371.6893959999995</v>
      </c>
      <c r="J254" s="753"/>
      <c r="K254" s="753"/>
    </row>
    <row r="255" spans="2:11" s="229" customFormat="1" ht="19.5" customHeight="1">
      <c r="B255" s="753" t="s">
        <v>357</v>
      </c>
      <c r="D255" s="1219">
        <f>$F$255+D253*$G$39</f>
        <v>1647.2703</v>
      </c>
      <c r="E255" s="1219">
        <f>$F$255+E253*$G$39</f>
        <v>1790.0733</v>
      </c>
      <c r="F255" s="1219">
        <f>G43</f>
        <v>1932.8763</v>
      </c>
      <c r="G255" s="1219">
        <f>$F$255+G253*$G$39</f>
        <v>2075.6793</v>
      </c>
      <c r="H255" s="1219">
        <f>$F$255+H253*$G$39</f>
        <v>2218.4822999999997</v>
      </c>
      <c r="I255" s="1219">
        <f>$F$255+I253*$G$39</f>
        <v>2361.2853</v>
      </c>
      <c r="J255" s="753"/>
      <c r="K255" s="753"/>
    </row>
    <row r="256" spans="2:11" s="229" customFormat="1" ht="19.5" customHeight="1">
      <c r="B256" s="753" t="s">
        <v>353</v>
      </c>
      <c r="C256" s="1218" t="s">
        <v>358</v>
      </c>
      <c r="D256" s="1218"/>
      <c r="E256" s="1218"/>
      <c r="F256" s="1218"/>
      <c r="G256" s="1218"/>
      <c r="H256" s="1218"/>
      <c r="I256" s="753"/>
      <c r="J256" s="753"/>
      <c r="K256" s="753"/>
    </row>
    <row r="257" spans="2:11" s="229" customFormat="1" ht="19.5" customHeight="1">
      <c r="B257" s="753">
        <v>30</v>
      </c>
      <c r="C257" s="754">
        <f>(B257+($D$16-$D$15)*$D$17+$D$18+$D$19)*$J$9</f>
        <v>44.8335</v>
      </c>
      <c r="D257" s="1219">
        <f aca="true" t="shared" si="12" ref="D257:I263">D$252*$C257+$G$41+$G$42</f>
        <v>1089.3423</v>
      </c>
      <c r="E257" s="1219">
        <f t="shared" si="12"/>
        <v>1179.0093</v>
      </c>
      <c r="F257" s="1219">
        <f t="shared" si="12"/>
        <v>1268.6763</v>
      </c>
      <c r="G257" s="1219">
        <f t="shared" si="12"/>
        <v>1358.3433</v>
      </c>
      <c r="H257" s="1219">
        <f t="shared" si="12"/>
        <v>1448.0103</v>
      </c>
      <c r="I257" s="1219">
        <f t="shared" si="12"/>
        <v>1537.6773</v>
      </c>
      <c r="J257" s="753"/>
      <c r="K257" s="753"/>
    </row>
    <row r="258" spans="2:11" s="229" customFormat="1" ht="19.5" customHeight="1">
      <c r="B258" s="753">
        <v>35</v>
      </c>
      <c r="C258" s="754">
        <f aca="true" t="shared" si="13" ref="C258:C263">(B258+($D$16-$D$15)*$D$17+$D$18+$D$19)*$J$9</f>
        <v>50.3685</v>
      </c>
      <c r="D258" s="1219">
        <f t="shared" si="12"/>
        <v>1205.5773</v>
      </c>
      <c r="E258" s="1219">
        <f t="shared" si="12"/>
        <v>1306.3143</v>
      </c>
      <c r="F258" s="1219">
        <f t="shared" si="12"/>
        <v>1407.0512999999999</v>
      </c>
      <c r="G258" s="1219">
        <f t="shared" si="12"/>
        <v>1507.7883</v>
      </c>
      <c r="H258" s="1219">
        <f t="shared" si="12"/>
        <v>1608.5253</v>
      </c>
      <c r="I258" s="1219">
        <f t="shared" si="12"/>
        <v>1709.2622999999999</v>
      </c>
      <c r="J258" s="753"/>
      <c r="K258" s="753"/>
    </row>
    <row r="259" spans="2:11" s="229" customFormat="1" ht="19.5" customHeight="1">
      <c r="B259" s="753">
        <v>40</v>
      </c>
      <c r="C259" s="754">
        <f t="shared" si="13"/>
        <v>55.9035</v>
      </c>
      <c r="D259" s="1219">
        <f t="shared" si="12"/>
        <v>1321.8123</v>
      </c>
      <c r="E259" s="1219">
        <f t="shared" si="12"/>
        <v>1433.6193</v>
      </c>
      <c r="F259" s="1219">
        <f t="shared" si="12"/>
        <v>1545.4263</v>
      </c>
      <c r="G259" s="1219">
        <f t="shared" si="12"/>
        <v>1657.2333</v>
      </c>
      <c r="H259" s="1219">
        <f t="shared" si="12"/>
        <v>1769.0403000000001</v>
      </c>
      <c r="I259" s="1219">
        <f t="shared" si="12"/>
        <v>1880.8473000000001</v>
      </c>
      <c r="J259" s="753"/>
      <c r="K259" s="753"/>
    </row>
    <row r="260" spans="2:11" s="229" customFormat="1" ht="19.5" customHeight="1">
      <c r="B260" s="753">
        <v>45</v>
      </c>
      <c r="C260" s="754">
        <f t="shared" si="13"/>
        <v>61.4385</v>
      </c>
      <c r="D260" s="1219">
        <f t="shared" si="12"/>
        <v>1438.0473</v>
      </c>
      <c r="E260" s="1219">
        <f t="shared" si="12"/>
        <v>1560.9243</v>
      </c>
      <c r="F260" s="1219">
        <f t="shared" si="12"/>
        <v>1683.8012999999999</v>
      </c>
      <c r="G260" s="1219">
        <f t="shared" si="12"/>
        <v>1806.6783</v>
      </c>
      <c r="H260" s="1219">
        <f t="shared" si="12"/>
        <v>1929.5553</v>
      </c>
      <c r="I260" s="1219">
        <f t="shared" si="12"/>
        <v>2052.4323</v>
      </c>
      <c r="J260" s="753"/>
      <c r="K260" s="753"/>
    </row>
    <row r="261" spans="2:11" s="229" customFormat="1" ht="19.5" customHeight="1">
      <c r="B261" s="753">
        <v>50</v>
      </c>
      <c r="C261" s="754">
        <f t="shared" si="13"/>
        <v>66.9735</v>
      </c>
      <c r="D261" s="1219">
        <f t="shared" si="12"/>
        <v>1554.2823</v>
      </c>
      <c r="E261" s="1219">
        <f t="shared" si="12"/>
        <v>1688.2293</v>
      </c>
      <c r="F261" s="1219">
        <f t="shared" si="12"/>
        <v>1822.1763</v>
      </c>
      <c r="G261" s="1219">
        <f t="shared" si="12"/>
        <v>1956.1233</v>
      </c>
      <c r="H261" s="1219">
        <f t="shared" si="12"/>
        <v>2090.0703</v>
      </c>
      <c r="I261" s="1219">
        <f t="shared" si="12"/>
        <v>2224.0173</v>
      </c>
      <c r="J261" s="753"/>
      <c r="K261" s="753"/>
    </row>
    <row r="262" spans="2:11" s="229" customFormat="1" ht="19.5" customHeight="1">
      <c r="B262" s="753">
        <v>55</v>
      </c>
      <c r="C262" s="754">
        <f t="shared" si="13"/>
        <v>72.5085</v>
      </c>
      <c r="D262" s="1219">
        <f t="shared" si="12"/>
        <v>1670.5173</v>
      </c>
      <c r="E262" s="1219">
        <f t="shared" si="12"/>
        <v>1815.5343</v>
      </c>
      <c r="F262" s="1219">
        <f t="shared" si="12"/>
        <v>1960.5512999999999</v>
      </c>
      <c r="G262" s="1219">
        <f t="shared" si="12"/>
        <v>2105.5683</v>
      </c>
      <c r="H262" s="1219">
        <f t="shared" si="12"/>
        <v>2250.5852999999997</v>
      </c>
      <c r="I262" s="1219">
        <f t="shared" si="12"/>
        <v>2395.6023</v>
      </c>
      <c r="J262" s="753"/>
      <c r="K262" s="753"/>
    </row>
    <row r="263" spans="2:11" s="229" customFormat="1" ht="19.5" customHeight="1">
      <c r="B263" s="753">
        <v>60</v>
      </c>
      <c r="C263" s="754">
        <f t="shared" si="13"/>
        <v>78.0435</v>
      </c>
      <c r="D263" s="1219">
        <f t="shared" si="12"/>
        <v>1786.7522999999999</v>
      </c>
      <c r="E263" s="1219">
        <f t="shared" si="12"/>
        <v>1942.8392999999999</v>
      </c>
      <c r="F263" s="1219">
        <f t="shared" si="12"/>
        <v>2098.9263</v>
      </c>
      <c r="G263" s="1219">
        <f t="shared" si="12"/>
        <v>2255.0133</v>
      </c>
      <c r="H263" s="1219">
        <f t="shared" si="12"/>
        <v>2411.1002999999996</v>
      </c>
      <c r="I263" s="1219">
        <f t="shared" si="12"/>
        <v>2567.1873</v>
      </c>
      <c r="J263" s="753"/>
      <c r="K263" s="753"/>
    </row>
    <row r="264" spans="2:10" ht="29.25" customHeight="1">
      <c r="B264" s="1222" t="s">
        <v>36</v>
      </c>
      <c r="C264" s="753"/>
      <c r="D264" s="753"/>
      <c r="E264" s="753"/>
      <c r="F264" s="753"/>
      <c r="G264" s="753"/>
      <c r="H264" s="753"/>
      <c r="I264" s="753"/>
      <c r="J264" s="753"/>
    </row>
    <row r="265" spans="3:10" ht="19.5" customHeight="1">
      <c r="C265" s="753" t="s">
        <v>353</v>
      </c>
      <c r="D265" s="753"/>
      <c r="E265" s="753"/>
      <c r="F265" s="753"/>
      <c r="G265" s="753"/>
      <c r="H265" s="753"/>
      <c r="I265" s="753"/>
      <c r="J265" s="753"/>
    </row>
    <row r="266" spans="2:10" ht="19.5" customHeight="1">
      <c r="B266" s="753"/>
      <c r="C266" s="753"/>
      <c r="D266" s="753"/>
      <c r="E266" s="753"/>
      <c r="F266" s="753"/>
      <c r="G266" s="753"/>
      <c r="H266" s="753"/>
      <c r="I266" s="753"/>
      <c r="J266" s="753"/>
    </row>
    <row r="267" spans="3:10" ht="19.5" customHeight="1">
      <c r="C267" s="1224">
        <v>30</v>
      </c>
      <c r="D267" s="1223">
        <f aca="true" t="shared" si="14" ref="D267:I273">D257-D$254</f>
        <v>-108.66469600000005</v>
      </c>
      <c r="E267" s="1223">
        <f t="shared" si="14"/>
        <v>-53.73417600000016</v>
      </c>
      <c r="F267" s="1223">
        <f t="shared" si="14"/>
        <v>1.196344000000181</v>
      </c>
      <c r="G267" s="1223">
        <f t="shared" si="14"/>
        <v>56.126864000000296</v>
      </c>
      <c r="H267" s="1223">
        <f t="shared" si="14"/>
        <v>111.05738400000018</v>
      </c>
      <c r="I267" s="1223">
        <f t="shared" si="14"/>
        <v>165.98790400000053</v>
      </c>
      <c r="J267" s="753"/>
    </row>
    <row r="268" spans="3:10" ht="19.5" customHeight="1">
      <c r="C268" s="1224">
        <v>35</v>
      </c>
      <c r="D268" s="1223">
        <f t="shared" si="14"/>
        <v>7.570303999999851</v>
      </c>
      <c r="E268" s="1223">
        <f t="shared" si="14"/>
        <v>73.5708239999999</v>
      </c>
      <c r="F268" s="1223">
        <f t="shared" si="14"/>
        <v>139.57134399999995</v>
      </c>
      <c r="G268" s="1223">
        <f t="shared" si="14"/>
        <v>205.57186400000023</v>
      </c>
      <c r="H268" s="1223">
        <f t="shared" si="14"/>
        <v>271.5723840000003</v>
      </c>
      <c r="I268" s="1223">
        <f t="shared" si="14"/>
        <v>337.57290400000034</v>
      </c>
      <c r="J268" s="753"/>
    </row>
    <row r="269" spans="3:10" ht="19.5" customHeight="1">
      <c r="C269" s="1224">
        <v>40</v>
      </c>
      <c r="D269" s="1223">
        <f t="shared" si="14"/>
        <v>123.80530399999998</v>
      </c>
      <c r="E269" s="1223">
        <f t="shared" si="14"/>
        <v>200.87582399999997</v>
      </c>
      <c r="F269" s="1223">
        <f t="shared" si="14"/>
        <v>277.9463440000002</v>
      </c>
      <c r="G269" s="1223">
        <f t="shared" si="14"/>
        <v>355.0168640000004</v>
      </c>
      <c r="H269" s="1223">
        <f t="shared" si="14"/>
        <v>432.0873840000004</v>
      </c>
      <c r="I269" s="1223">
        <f t="shared" si="14"/>
        <v>509.1579040000006</v>
      </c>
      <c r="J269" s="753"/>
    </row>
    <row r="270" spans="3:10" ht="19.5" customHeight="1">
      <c r="C270" s="1224">
        <v>45</v>
      </c>
      <c r="D270" s="1223">
        <f t="shared" si="14"/>
        <v>240.04030399999988</v>
      </c>
      <c r="E270" s="1223">
        <f t="shared" si="14"/>
        <v>328.1808239999998</v>
      </c>
      <c r="F270" s="1223">
        <f t="shared" si="14"/>
        <v>416.32134399999995</v>
      </c>
      <c r="G270" s="1223">
        <f t="shared" si="14"/>
        <v>504.46186400000033</v>
      </c>
      <c r="H270" s="1223">
        <f t="shared" si="14"/>
        <v>592.6023840000003</v>
      </c>
      <c r="I270" s="1223">
        <f t="shared" si="14"/>
        <v>680.7429040000004</v>
      </c>
      <c r="J270" s="753"/>
    </row>
    <row r="271" spans="3:10" ht="18">
      <c r="C271" s="1224">
        <v>50</v>
      </c>
      <c r="D271" s="1223">
        <f t="shared" si="14"/>
        <v>356.275304</v>
      </c>
      <c r="E271" s="1223">
        <f t="shared" si="14"/>
        <v>455.48582399999987</v>
      </c>
      <c r="F271" s="1223">
        <f t="shared" si="14"/>
        <v>554.6963440000002</v>
      </c>
      <c r="G271" s="1223">
        <f t="shared" si="14"/>
        <v>653.9068640000003</v>
      </c>
      <c r="H271" s="1223">
        <f t="shared" si="14"/>
        <v>753.1173840000001</v>
      </c>
      <c r="I271" s="1223">
        <f t="shared" si="14"/>
        <v>852.3279040000004</v>
      </c>
      <c r="J271" s="753"/>
    </row>
    <row r="272" spans="3:10" ht="18">
      <c r="C272" s="1224">
        <v>55</v>
      </c>
      <c r="D272" s="1223">
        <f t="shared" si="14"/>
        <v>472.5103039999999</v>
      </c>
      <c r="E272" s="1223">
        <f t="shared" si="14"/>
        <v>582.7908239999999</v>
      </c>
      <c r="F272" s="1223">
        <f t="shared" si="14"/>
        <v>693.071344</v>
      </c>
      <c r="G272" s="1223">
        <f t="shared" si="14"/>
        <v>803.3518640000002</v>
      </c>
      <c r="H272" s="1223">
        <f t="shared" si="14"/>
        <v>913.632384</v>
      </c>
      <c r="I272" s="1223">
        <f t="shared" si="14"/>
        <v>1023.9129040000005</v>
      </c>
      <c r="J272" s="753"/>
    </row>
    <row r="273" spans="3:10" ht="18">
      <c r="C273" s="1224">
        <v>60</v>
      </c>
      <c r="D273" s="1223">
        <f t="shared" si="14"/>
        <v>588.7453039999998</v>
      </c>
      <c r="E273" s="1223">
        <f t="shared" si="14"/>
        <v>710.0958239999998</v>
      </c>
      <c r="F273" s="1223">
        <f t="shared" si="14"/>
        <v>831.4463440000002</v>
      </c>
      <c r="G273" s="1223">
        <f t="shared" si="14"/>
        <v>952.7968640000004</v>
      </c>
      <c r="H273" s="1223">
        <f t="shared" si="14"/>
        <v>1074.1473839999999</v>
      </c>
      <c r="I273" s="1223">
        <f t="shared" si="14"/>
        <v>1195.4979040000005</v>
      </c>
      <c r="J273" s="753"/>
    </row>
    <row r="274" spans="2:10" ht="18">
      <c r="B274" s="753"/>
      <c r="C274" s="753"/>
      <c r="D274" s="753"/>
      <c r="E274" s="753"/>
      <c r="F274" s="753"/>
      <c r="G274" s="753"/>
      <c r="H274" s="753"/>
      <c r="I274" s="753"/>
      <c r="J274" s="753"/>
    </row>
    <row r="275" spans="2:10" ht="409.5" customHeight="1">
      <c r="B275" s="753"/>
      <c r="C275" s="753"/>
      <c r="D275" s="753"/>
      <c r="E275" s="753"/>
      <c r="F275" s="753"/>
      <c r="G275" s="753"/>
      <c r="H275" s="753"/>
      <c r="I275" s="753"/>
      <c r="J275" s="753"/>
    </row>
    <row r="276" spans="2:10" ht="18">
      <c r="B276" s="753"/>
      <c r="C276" s="753"/>
      <c r="D276" s="753"/>
      <c r="E276" s="753"/>
      <c r="F276" s="753"/>
      <c r="G276" s="753"/>
      <c r="H276" s="753"/>
      <c r="I276" s="753"/>
      <c r="J276" s="753"/>
    </row>
    <row r="277" spans="2:10" ht="6" customHeight="1">
      <c r="B277" s="753"/>
      <c r="C277" s="753"/>
      <c r="D277" s="753"/>
      <c r="E277" s="753"/>
      <c r="F277" s="753"/>
      <c r="G277" s="753"/>
      <c r="H277" s="753"/>
      <c r="I277" s="753"/>
      <c r="J277" s="753"/>
    </row>
    <row r="278" ht="6" customHeight="1"/>
    <row r="279" ht="6" customHeight="1"/>
    <row r="280" ht="6" customHeight="1"/>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8" spans="6:8" ht="26.25" customHeight="1">
      <c r="F338" s="729" t="s">
        <v>81</v>
      </c>
      <c r="G338" s="729" t="s">
        <v>82</v>
      </c>
      <c r="H338" s="729" t="s">
        <v>83</v>
      </c>
    </row>
    <row r="339" spans="6:8" ht="15">
      <c r="F339" s="674">
        <f>F37</f>
        <v>22</v>
      </c>
      <c r="G339" s="674">
        <f>G37</f>
        <v>25</v>
      </c>
      <c r="H339" s="674">
        <f>H37</f>
        <v>28</v>
      </c>
    </row>
    <row r="340" spans="2:8" ht="13.5">
      <c r="B340" s="727" t="s">
        <v>186</v>
      </c>
      <c r="F340" s="673">
        <f>F52</f>
        <v>503.296564</v>
      </c>
      <c r="G340" s="673">
        <f>G52</f>
        <v>665.396344</v>
      </c>
      <c r="H340" s="673">
        <f>H52</f>
        <v>827.4961240000002</v>
      </c>
    </row>
    <row r="341" spans="2:8" ht="12.75">
      <c r="B341" s="15" t="s">
        <v>200</v>
      </c>
      <c r="F341" s="673">
        <f aca="true" t="shared" si="15" ref="F341:H342">F65</f>
        <v>61.72140863923791</v>
      </c>
      <c r="G341" s="673">
        <f t="shared" si="15"/>
        <v>55.54225044263776</v>
      </c>
      <c r="H341" s="673">
        <f t="shared" si="15"/>
        <v>50.687197573880496</v>
      </c>
    </row>
    <row r="342" spans="2:8" ht="12.75">
      <c r="B342" s="15" t="s">
        <v>201</v>
      </c>
      <c r="F342" s="673">
        <f t="shared" si="15"/>
        <v>33.33413139525335</v>
      </c>
      <c r="G342" s="673">
        <f t="shared" si="15"/>
        <v>29.95677167118338</v>
      </c>
      <c r="H342" s="673">
        <f t="shared" si="15"/>
        <v>27.30313188798554</v>
      </c>
    </row>
    <row r="344" spans="2:8" ht="12.75">
      <c r="B344" s="715" t="s">
        <v>206</v>
      </c>
      <c r="C344" s="717">
        <v>5</v>
      </c>
      <c r="D344" s="715" t="s">
        <v>207</v>
      </c>
      <c r="E344" s="715"/>
      <c r="F344" s="716">
        <f>F$345+($C344-$C$345)*$J$9*F$339</f>
        <v>564.181564</v>
      </c>
      <c r="G344" s="716">
        <f>G$345+($C344-$C$345)*$J$9*G$339</f>
        <v>734.583844</v>
      </c>
      <c r="H344" s="716">
        <f>H$345+($C344-$C$345)*$J$9*H$339</f>
        <v>904.9861240000002</v>
      </c>
    </row>
    <row r="345" spans="2:8" ht="12.75">
      <c r="B345" s="715"/>
      <c r="C345" s="717">
        <v>0</v>
      </c>
      <c r="D345" s="715" t="s">
        <v>207</v>
      </c>
      <c r="E345" s="715"/>
      <c r="F345" s="716">
        <f>F340-F339*$D$18*$J$9</f>
        <v>442.411564</v>
      </c>
      <c r="G345" s="716">
        <f>G340-G339*$D$18*$J$9</f>
        <v>596.208844</v>
      </c>
      <c r="H345" s="716">
        <f>H340-H339*$D$18*$J$9</f>
        <v>750.0061240000002</v>
      </c>
    </row>
    <row r="346" spans="2:8" ht="12.75">
      <c r="B346" s="715"/>
      <c r="C346" s="717">
        <v>-5</v>
      </c>
      <c r="D346" s="715" t="s">
        <v>208</v>
      </c>
      <c r="E346" s="715"/>
      <c r="F346" s="716">
        <f>F$345+($C346-$C$345)*$J$9*F$339</f>
        <v>320.641564</v>
      </c>
      <c r="G346" s="716">
        <f>G$345+($C346-$C$345)*$J$9*G$339</f>
        <v>457.833844</v>
      </c>
      <c r="H346" s="716">
        <f>H$345+($C346-$C$345)*$J$9*H$339</f>
        <v>595.0261240000002</v>
      </c>
    </row>
    <row r="348" spans="2:8" ht="12.75">
      <c r="B348" s="15" t="s">
        <v>210</v>
      </c>
      <c r="F348" s="673">
        <f>F55+F56</f>
        <v>455.09375</v>
      </c>
      <c r="G348" s="673">
        <f>G55+G56</f>
        <v>471.828125</v>
      </c>
      <c r="H348" s="673">
        <f>H55+H56</f>
        <v>488.5625</v>
      </c>
    </row>
    <row r="349" spans="2:8" ht="12.75">
      <c r="B349" s="15" t="s">
        <v>209</v>
      </c>
      <c r="F349" s="673">
        <f>F59</f>
        <v>236.25</v>
      </c>
      <c r="G349" s="673">
        <f>G59</f>
        <v>236.25</v>
      </c>
      <c r="H349" s="673">
        <f>H59</f>
        <v>236.25</v>
      </c>
    </row>
    <row r="350" spans="2:8" ht="12.75">
      <c r="B350" s="15" t="s">
        <v>211</v>
      </c>
      <c r="F350" s="673">
        <f>F348+F349</f>
        <v>691.34375</v>
      </c>
      <c r="G350" s="673">
        <f>G348+G349</f>
        <v>708.078125</v>
      </c>
      <c r="H350" s="673">
        <f>H348+H349</f>
        <v>724.8125</v>
      </c>
    </row>
    <row r="351" spans="2:8" ht="12.75">
      <c r="B351" s="15" t="s">
        <v>212</v>
      </c>
      <c r="F351" s="718">
        <f>F58</f>
        <v>3.2135209333333328</v>
      </c>
      <c r="G351" s="718">
        <f>G58</f>
        <v>12.904547933333333</v>
      </c>
      <c r="H351" s="718">
        <f>H58</f>
        <v>22.59557493333335</v>
      </c>
    </row>
    <row r="352" spans="2:8" ht="12.75">
      <c r="B352" s="15" t="s">
        <v>130</v>
      </c>
      <c r="F352" s="719">
        <f>F61</f>
        <v>-0.03482988528334411</v>
      </c>
      <c r="G352" s="719">
        <f>G61</f>
        <v>0.01583030405643739</v>
      </c>
      <c r="H352" s="719">
        <f>H61</f>
        <v>0.06287190844337742</v>
      </c>
    </row>
    <row r="353" spans="6:8" ht="12.75">
      <c r="F353" s="719"/>
      <c r="G353" s="719"/>
      <c r="H353" s="719"/>
    </row>
    <row r="354" spans="2:9" ht="15">
      <c r="B354" s="16"/>
      <c r="C354" s="16"/>
      <c r="D354" s="16"/>
      <c r="E354" s="16"/>
      <c r="F354" s="672" t="s">
        <v>81</v>
      </c>
      <c r="G354" s="672" t="s">
        <v>82</v>
      </c>
      <c r="H354" s="672" t="s">
        <v>83</v>
      </c>
      <c r="I354" s="16"/>
    </row>
    <row r="355" spans="2:9" ht="15">
      <c r="B355" s="728" t="s">
        <v>181</v>
      </c>
      <c r="C355" s="16"/>
      <c r="D355" s="16"/>
      <c r="E355" s="16"/>
      <c r="F355" s="664">
        <f>F112</f>
        <v>86.81844061551605</v>
      </c>
      <c r="G355" s="664">
        <f>G112</f>
        <v>93.01857237336648</v>
      </c>
      <c r="H355" s="664">
        <f>H112</f>
        <v>130.21936292046908</v>
      </c>
      <c r="I355" s="16"/>
    </row>
    <row r="356" spans="2:9" ht="15">
      <c r="B356" s="663" t="s">
        <v>203</v>
      </c>
      <c r="C356" s="16"/>
      <c r="D356" s="16"/>
      <c r="E356" s="16"/>
      <c r="F356" s="665">
        <f>F123</f>
        <v>1.7080027919318244</v>
      </c>
      <c r="G356" s="665">
        <f>G123</f>
        <v>1.686950160352877</v>
      </c>
      <c r="H356" s="665">
        <f>H123</f>
        <v>1.5606343708791928</v>
      </c>
      <c r="I356" s="16"/>
    </row>
    <row r="357" spans="2:9" ht="15">
      <c r="B357" s="663" t="s">
        <v>204</v>
      </c>
      <c r="C357" s="16"/>
      <c r="D357" s="16"/>
      <c r="E357" s="16"/>
      <c r="F357" s="665">
        <f>F125</f>
        <v>1.4552068059323215</v>
      </c>
      <c r="G357" s="665">
        <f>G125</f>
        <v>1.4341541743533743</v>
      </c>
      <c r="H357" s="665">
        <f>H125</f>
        <v>1.3078383848796902</v>
      </c>
      <c r="I357" s="16"/>
    </row>
    <row r="358" spans="2:9" ht="15">
      <c r="B358" s="663" t="s">
        <v>182</v>
      </c>
      <c r="C358" s="16"/>
      <c r="D358" s="16"/>
      <c r="E358" s="16"/>
      <c r="F358" s="666">
        <f>F128</f>
        <v>1.7892807776080129</v>
      </c>
      <c r="G358" s="666">
        <f>G128</f>
        <v>1.7031843755385376</v>
      </c>
      <c r="H358" s="666">
        <f>H128</f>
        <v>1.5257627663937243</v>
      </c>
      <c r="I358" s="16"/>
    </row>
    <row r="360" spans="2:11" s="748" customFormat="1" ht="13.5">
      <c r="B360" s="663" t="s">
        <v>210</v>
      </c>
      <c r="C360" s="663"/>
      <c r="D360" s="663"/>
      <c r="E360" s="663"/>
      <c r="F360" s="747">
        <f>F114+F115</f>
        <v>55.550000000000004</v>
      </c>
      <c r="G360" s="747">
        <f>G114+G115</f>
        <v>55.550000000000004</v>
      </c>
      <c r="H360" s="747">
        <f>H114+H115</f>
        <v>55.550000000000004</v>
      </c>
      <c r="I360" s="663"/>
      <c r="J360" s="663"/>
      <c r="K360" s="663"/>
    </row>
    <row r="361" spans="2:11" s="748" customFormat="1" ht="13.5">
      <c r="B361" s="663" t="s">
        <v>209</v>
      </c>
      <c r="C361" s="663"/>
      <c r="D361" s="663"/>
      <c r="E361" s="663"/>
      <c r="F361" s="747">
        <f>F118</f>
        <v>18.9</v>
      </c>
      <c r="G361" s="747">
        <f>G118</f>
        <v>18.9</v>
      </c>
      <c r="H361" s="747">
        <f>H118</f>
        <v>18.9</v>
      </c>
      <c r="I361" s="663"/>
      <c r="J361" s="663"/>
      <c r="K361" s="663"/>
    </row>
    <row r="362" spans="2:11" s="748" customFormat="1" ht="13.5">
      <c r="B362" s="663" t="s">
        <v>211</v>
      </c>
      <c r="C362" s="663"/>
      <c r="D362" s="663"/>
      <c r="E362" s="663"/>
      <c r="F362" s="747">
        <f>SUM(F360:F361)</f>
        <v>74.45</v>
      </c>
      <c r="G362" s="747">
        <f>SUM(G360:G361)</f>
        <v>74.45</v>
      </c>
      <c r="H362" s="747">
        <f>SUM(H360:H361)</f>
        <v>74.45</v>
      </c>
      <c r="I362" s="663"/>
      <c r="J362" s="663"/>
      <c r="K362" s="663"/>
    </row>
    <row r="363" spans="2:11" s="748" customFormat="1" ht="13.5">
      <c r="B363" s="663" t="s">
        <v>212</v>
      </c>
      <c r="C363" s="663"/>
      <c r="D363" s="663"/>
      <c r="E363" s="663"/>
      <c r="F363" s="747">
        <f>F117</f>
        <v>26.057033846263376</v>
      </c>
      <c r="G363" s="747">
        <f>G117</f>
        <v>31.22381031113873</v>
      </c>
      <c r="H363" s="747">
        <f>H117</f>
        <v>62.22446910039089</v>
      </c>
      <c r="I363" s="663"/>
      <c r="J363" s="663"/>
      <c r="K363" s="663"/>
    </row>
    <row r="364" spans="2:11" s="748" customFormat="1" ht="13.5">
      <c r="B364" s="663" t="s">
        <v>130</v>
      </c>
      <c r="C364" s="663"/>
      <c r="D364" s="663"/>
      <c r="E364" s="663"/>
      <c r="F364" s="749">
        <f>F120</f>
        <v>0.06464549192021304</v>
      </c>
      <c r="G364" s="749">
        <f>G120</f>
        <v>0.08201280776853354</v>
      </c>
      <c r="H364" s="749">
        <f>H120</f>
        <v>0.1862167028584568</v>
      </c>
      <c r="I364" s="663"/>
      <c r="J364" s="663"/>
      <c r="K364" s="663"/>
    </row>
  </sheetData>
  <sheetProtection sheet="1"/>
  <mergeCells count="32">
    <mergeCell ref="H45:I45"/>
    <mergeCell ref="H63:I63"/>
    <mergeCell ref="H46:I46"/>
    <mergeCell ref="H37:I37"/>
    <mergeCell ref="H44:I44"/>
    <mergeCell ref="B127:C127"/>
    <mergeCell ref="B126:D126"/>
    <mergeCell ref="H125:I125"/>
    <mergeCell ref="H70:I70"/>
    <mergeCell ref="B62:C63"/>
    <mergeCell ref="H113:I113"/>
    <mergeCell ref="H124:I124"/>
    <mergeCell ref="B2:G2"/>
    <mergeCell ref="B68:G68"/>
    <mergeCell ref="H2:I2"/>
    <mergeCell ref="H68:I68"/>
    <mergeCell ref="H53:I53"/>
    <mergeCell ref="B53:D53"/>
    <mergeCell ref="H42:I42"/>
    <mergeCell ref="B13:I13"/>
    <mergeCell ref="H4:I4"/>
    <mergeCell ref="H51:I51"/>
    <mergeCell ref="H128:I128"/>
    <mergeCell ref="H123:I123"/>
    <mergeCell ref="H121:I121"/>
    <mergeCell ref="B122:D122"/>
    <mergeCell ref="F79:G79"/>
    <mergeCell ref="H120:I120"/>
    <mergeCell ref="H127:I127"/>
    <mergeCell ref="B121:C121"/>
    <mergeCell ref="B113:D113"/>
    <mergeCell ref="H98:I98"/>
  </mergeCells>
  <printOptions horizontalCentered="1" verticalCentered="1"/>
  <pageMargins left="0.3937007874015748" right="0.3937007874015748" top="0.2362204724409449" bottom="0.31496062992125984" header="0.1968503937007874" footer="0.1968503937007874"/>
  <pageSetup horizontalDpi="600" verticalDpi="600" orientation="portrait" paperSize="9" scale="64" r:id="rId4"/>
  <headerFooter alignWithMargins="0">
    <oddFooter>&amp;LLEL, Abt.2, V. Segger&amp;C&amp;F&amp;A&amp;R&amp;D</oddFooter>
  </headerFooter>
  <rowBreaks count="4" manualBreakCount="4">
    <brk id="66" max="255" man="1"/>
    <brk id="128" max="255" man="1"/>
    <brk id="192" max="255" man="1"/>
    <brk id="240" max="255" man="1"/>
  </rowBreaks>
  <colBreaks count="1" manualBreakCount="1">
    <brk id="9" max="65535" man="1"/>
  </colBreaks>
  <drawing r:id="rId3"/>
  <legacyDrawing r:id="rId2"/>
</worksheet>
</file>

<file path=xl/worksheets/sheet4.xml><?xml version="1.0" encoding="utf-8"?>
<worksheet xmlns="http://schemas.openxmlformats.org/spreadsheetml/2006/main" xmlns:r="http://schemas.openxmlformats.org/officeDocument/2006/relationships">
  <dimension ref="B1:AB129"/>
  <sheetViews>
    <sheetView showGridLines="0" zoomScale="70" zoomScaleNormal="70" zoomScalePageLayoutView="0" workbookViewId="0" topLeftCell="A1">
      <selection activeCell="H5" sqref="H5"/>
    </sheetView>
  </sheetViews>
  <sheetFormatPr defaultColWidth="11.421875" defaultRowHeight="12.75"/>
  <cols>
    <col min="1" max="1" width="1.421875" style="1" customWidth="1"/>
    <col min="2" max="2" width="27.57421875" style="15" customWidth="1"/>
    <col min="3" max="3" width="35.7109375" style="15" customWidth="1"/>
    <col min="4" max="4" width="18.00390625" style="15" customWidth="1"/>
    <col min="5" max="5" width="10.28125" style="15" customWidth="1"/>
    <col min="6" max="6" width="40.00390625" style="15" customWidth="1"/>
    <col min="7" max="7" width="28.7109375" style="15" customWidth="1"/>
    <col min="8" max="8" width="14.00390625" style="15" customWidth="1"/>
    <col min="9" max="9" width="14.8515625" style="15" customWidth="1"/>
    <col min="10" max="10" width="13.00390625" style="15" customWidth="1"/>
    <col min="11" max="11" width="8.421875" style="15" customWidth="1"/>
    <col min="12" max="12" width="4.28125" style="1" customWidth="1"/>
    <col min="13" max="13" width="8.8515625" style="1" customWidth="1"/>
    <col min="14" max="14" width="13.7109375" style="1" customWidth="1"/>
    <col min="15" max="15" width="31.28125" style="1" customWidth="1"/>
    <col min="16" max="16" width="17.7109375" style="1" customWidth="1"/>
    <col min="17" max="16384" width="11.421875" style="1" customWidth="1"/>
  </cols>
  <sheetData>
    <row r="1" spans="2:14" ht="2.25" customHeight="1" thickBot="1">
      <c r="B1" s="14"/>
      <c r="C1" s="14"/>
      <c r="D1" s="14"/>
      <c r="E1" s="14"/>
      <c r="F1" s="14"/>
      <c r="G1" s="14"/>
      <c r="H1" s="14"/>
      <c r="I1" s="14"/>
      <c r="J1" s="14"/>
      <c r="K1" s="14"/>
      <c r="L1" s="3"/>
      <c r="M1" s="3"/>
      <c r="N1" s="3"/>
    </row>
    <row r="2" spans="2:14" ht="53.25" customHeight="1" thickBot="1">
      <c r="B2" s="1247" t="s">
        <v>99</v>
      </c>
      <c r="C2" s="1341"/>
      <c r="D2" s="1341"/>
      <c r="E2" s="1341"/>
      <c r="F2" s="1341"/>
      <c r="G2" s="1341"/>
      <c r="H2" s="1342" t="str">
        <f>' 1 ZS-Aufzf..-Mast'!H2:I2</f>
        <v>Vers. 3.5
(10/2016 )</v>
      </c>
      <c r="I2" s="1343"/>
      <c r="J2" s="14"/>
      <c r="K2" s="14"/>
      <c r="L2" s="3"/>
      <c r="M2" s="3"/>
      <c r="N2" s="3"/>
    </row>
    <row r="3" spans="2:14" ht="9" customHeight="1" thickBot="1">
      <c r="B3" s="14"/>
      <c r="C3" s="14"/>
      <c r="D3" s="14"/>
      <c r="E3" s="14"/>
      <c r="F3" s="14"/>
      <c r="G3" s="14"/>
      <c r="H3" s="14"/>
      <c r="I3" s="14"/>
      <c r="J3" s="14"/>
      <c r="K3" s="14"/>
      <c r="L3" s="3"/>
      <c r="M3" s="3"/>
      <c r="N3" s="3"/>
    </row>
    <row r="4" spans="2:14" ht="24.75" customHeight="1" thickBot="1">
      <c r="B4" s="358" t="s">
        <v>260</v>
      </c>
      <c r="C4" s="901" t="s">
        <v>173</v>
      </c>
      <c r="E4" s="902" t="s">
        <v>261</v>
      </c>
      <c r="F4" s="1415" t="str">
        <f>' 1 ZS-Aufzf..-Mast'!F4</f>
        <v>Anfang Oktober 2016</v>
      </c>
      <c r="G4" s="358" t="s">
        <v>168</v>
      </c>
      <c r="H4" s="1337">
        <f>' 1 ZS-Aufzf..-Mast'!H4:I4</f>
        <v>42647</v>
      </c>
      <c r="I4" s="1338"/>
      <c r="L4" s="973" t="s">
        <v>2</v>
      </c>
      <c r="M4" s="1326">
        <f>' 1 ZS-Aufzf..-Mast'!M4</f>
        <v>42383</v>
      </c>
      <c r="N4" s="1326"/>
    </row>
    <row r="5" spans="2:14" ht="9" customHeight="1">
      <c r="B5" s="14"/>
      <c r="C5" s="14"/>
      <c r="D5" s="14"/>
      <c r="E5" s="14"/>
      <c r="F5" s="14"/>
      <c r="G5" s="14"/>
      <c r="H5" s="14"/>
      <c r="I5" s="14"/>
      <c r="J5" s="14"/>
      <c r="K5" s="14"/>
      <c r="L5" s="3"/>
      <c r="M5" s="3"/>
      <c r="N5" s="3"/>
    </row>
    <row r="6" spans="2:14" ht="21" customHeight="1">
      <c r="B6" s="278"/>
      <c r="C6" s="1063" t="s">
        <v>302</v>
      </c>
      <c r="D6" s="1064" t="s">
        <v>246</v>
      </c>
      <c r="E6" s="1065"/>
      <c r="F6" s="1059" t="s">
        <v>301</v>
      </c>
      <c r="G6" s="1047"/>
      <c r="H6" s="1060" t="s">
        <v>262</v>
      </c>
      <c r="I6" s="1061" t="s">
        <v>264</v>
      </c>
      <c r="K6" s="14"/>
      <c r="L6"/>
      <c r="M6"/>
      <c r="N6"/>
    </row>
    <row r="7" spans="2:14" ht="21" customHeight="1">
      <c r="B7" s="773" t="s">
        <v>0</v>
      </c>
      <c r="C7" s="771"/>
      <c r="D7" s="1064" t="s">
        <v>235</v>
      </c>
      <c r="E7" s="1066" t="str">
        <f>IF(E6="","X","")</f>
        <v>X</v>
      </c>
      <c r="F7" s="1048"/>
      <c r="G7" s="1047"/>
      <c r="H7" s="1060" t="s">
        <v>263</v>
      </c>
      <c r="I7" s="1062">
        <f>IF(I6="","X","")</f>
      </c>
      <c r="J7" s="19"/>
      <c r="K7" s="14"/>
      <c r="L7"/>
      <c r="M7"/>
      <c r="N7"/>
    </row>
    <row r="8" spans="3:14" ht="15.75" customHeight="1" thickBot="1">
      <c r="C8" s="14"/>
      <c r="D8" s="14"/>
      <c r="E8" s="14"/>
      <c r="F8" s="14"/>
      <c r="G8" s="14"/>
      <c r="H8" s="14"/>
      <c r="I8" s="14"/>
      <c r="J8" s="1045" t="s">
        <v>3</v>
      </c>
      <c r="K8" s="20"/>
      <c r="L8" s="3"/>
      <c r="M8"/>
      <c r="N8" s="3"/>
    </row>
    <row r="9" spans="2:14" ht="21.75" customHeight="1">
      <c r="B9" s="56" t="s">
        <v>4</v>
      </c>
      <c r="C9" s="359"/>
      <c r="D9" s="906">
        <v>0.107</v>
      </c>
      <c r="E9" s="940">
        <f>IF($I$7="",D9,"")</f>
        <v>0.107</v>
      </c>
      <c r="F9" s="775" t="s">
        <v>288</v>
      </c>
      <c r="G9" s="68"/>
      <c r="H9" s="764">
        <v>3</v>
      </c>
      <c r="I9" s="23" t="s">
        <v>5</v>
      </c>
      <c r="J9" s="21">
        <f>IF($I$7="",1+E9,1)</f>
        <v>1.107</v>
      </c>
      <c r="K9" s="19"/>
      <c r="L9"/>
      <c r="M9"/>
      <c r="N9"/>
    </row>
    <row r="10" spans="2:14" ht="21.75" customHeight="1">
      <c r="B10" s="73" t="s">
        <v>234</v>
      </c>
      <c r="C10" s="89"/>
      <c r="D10" s="907">
        <v>0.19</v>
      </c>
      <c r="E10" s="941">
        <f>IF($I$7="",D10,"")</f>
        <v>0.19</v>
      </c>
      <c r="F10" s="28" t="s">
        <v>323</v>
      </c>
      <c r="G10" s="177"/>
      <c r="H10" s="33"/>
      <c r="I10" s="24" t="s">
        <v>5</v>
      </c>
      <c r="J10" s="21">
        <f>IF($I$7="",1+E10,1)</f>
        <v>1.19</v>
      </c>
      <c r="K10" s="19"/>
      <c r="L10"/>
      <c r="M10"/>
      <c r="N10"/>
    </row>
    <row r="11" spans="2:14" ht="21.75" customHeight="1" thickBot="1">
      <c r="B11" s="69" t="s">
        <v>6</v>
      </c>
      <c r="C11" s="96"/>
      <c r="D11" s="908">
        <v>0.07</v>
      </c>
      <c r="E11" s="910">
        <f>IF($I$7="",D11,"")</f>
        <v>0.07</v>
      </c>
      <c r="F11" s="34" t="s">
        <v>7</v>
      </c>
      <c r="G11" s="59"/>
      <c r="H11" s="251">
        <v>15.75</v>
      </c>
      <c r="I11" s="26" t="s">
        <v>117</v>
      </c>
      <c r="J11" s="929">
        <f>IF($I$7="",1+E11,1)</f>
        <v>1.07</v>
      </c>
      <c r="K11" s="19"/>
      <c r="L11"/>
      <c r="M11"/>
      <c r="N11"/>
    </row>
    <row r="12" spans="2:14" ht="12.75" customHeight="1" thickBot="1">
      <c r="B12" s="14"/>
      <c r="C12" s="14"/>
      <c r="D12" s="14"/>
      <c r="E12" s="14"/>
      <c r="F12" s="14"/>
      <c r="G12" s="14"/>
      <c r="H12" s="14"/>
      <c r="I12" s="14"/>
      <c r="J12"/>
      <c r="K12" s="14"/>
      <c r="L12"/>
      <c r="M12"/>
      <c r="N12"/>
    </row>
    <row r="13" spans="2:18" ht="33" customHeight="1" thickBot="1">
      <c r="B13" s="273" t="s">
        <v>237</v>
      </c>
      <c r="C13" s="360"/>
      <c r="D13" s="207"/>
      <c r="E13" s="207"/>
      <c r="F13" s="208"/>
      <c r="G13" s="208"/>
      <c r="H13" s="208"/>
      <c r="I13" s="209"/>
      <c r="J13" s="18"/>
      <c r="K13" s="22"/>
      <c r="L13"/>
      <c r="M13"/>
      <c r="N13"/>
      <c r="O13"/>
      <c r="P13"/>
      <c r="Q13"/>
      <c r="R13"/>
    </row>
    <row r="14" spans="2:18" ht="24.75" customHeight="1">
      <c r="B14" s="56" t="str">
        <f>' 1 ZS-Aufzf..-Mast'!B14</f>
        <v>Ferkelbasispreis 25 kg, 200 er Gruppe (o. Mwst)</v>
      </c>
      <c r="C14" s="359"/>
      <c r="D14" s="225">
        <f>' 1 ZS-Aufzf..-Mast'!D14</f>
        <v>54</v>
      </c>
      <c r="E14" s="24" t="s">
        <v>114</v>
      </c>
      <c r="F14" s="28" t="s">
        <v>25</v>
      </c>
      <c r="G14"/>
      <c r="H14" s="33">
        <v>12</v>
      </c>
      <c r="I14" s="24" t="s">
        <v>26</v>
      </c>
      <c r="J14" s="18"/>
      <c r="K14" s="22"/>
      <c r="L14"/>
      <c r="M14"/>
      <c r="N14"/>
      <c r="O14"/>
      <c r="P14"/>
      <c r="Q14"/>
      <c r="R14"/>
    </row>
    <row r="15" spans="2:18" ht="24.75" customHeight="1">
      <c r="B15" s="73" t="s">
        <v>154</v>
      </c>
      <c r="C15" s="89"/>
      <c r="D15" s="58">
        <v>68</v>
      </c>
      <c r="E15" s="24" t="s">
        <v>5</v>
      </c>
      <c r="F15" s="28" t="s">
        <v>61</v>
      </c>
      <c r="G15"/>
      <c r="H15" s="33">
        <v>0.8</v>
      </c>
      <c r="I15" s="24" t="s">
        <v>10</v>
      </c>
      <c r="J15" s="18"/>
      <c r="K15" s="22"/>
      <c r="L15"/>
      <c r="M15"/>
      <c r="N15"/>
      <c r="O15"/>
      <c r="P15"/>
      <c r="Q15"/>
      <c r="R15"/>
    </row>
    <row r="16" spans="2:18" ht="24.75" customHeight="1">
      <c r="B16" s="73" t="s">
        <v>155</v>
      </c>
      <c r="C16" s="89"/>
      <c r="D16" s="206">
        <f>D14*D15/100</f>
        <v>36.72</v>
      </c>
      <c r="E16" s="24" t="s">
        <v>114</v>
      </c>
      <c r="F16" s="28" t="s">
        <v>226</v>
      </c>
      <c r="G16"/>
      <c r="H16" s="33"/>
      <c r="I16" s="24" t="s">
        <v>10</v>
      </c>
      <c r="J16" s="18"/>
      <c r="K16" s="22"/>
      <c r="L16"/>
      <c r="M16"/>
      <c r="N16"/>
      <c r="O16"/>
      <c r="P16"/>
      <c r="Q16"/>
      <c r="R16"/>
    </row>
    <row r="17" spans="2:18" ht="24.75" customHeight="1">
      <c r="B17" s="28" t="s">
        <v>164</v>
      </c>
      <c r="C17" s="55"/>
      <c r="D17" s="77">
        <v>8</v>
      </c>
      <c r="E17" s="24" t="s">
        <v>10</v>
      </c>
      <c r="F17" s="28" t="s">
        <v>8</v>
      </c>
      <c r="G17" s="55"/>
      <c r="H17" s="33">
        <v>5</v>
      </c>
      <c r="I17" s="24" t="s">
        <v>9</v>
      </c>
      <c r="J17" s="25"/>
      <c r="K17" s="14"/>
      <c r="L17"/>
      <c r="M17"/>
      <c r="N17"/>
      <c r="O17"/>
      <c r="P17"/>
      <c r="Q17"/>
      <c r="R17"/>
    </row>
    <row r="18" spans="2:18" ht="24.75" customHeight="1">
      <c r="B18" s="28" t="s">
        <v>62</v>
      </c>
      <c r="C18" s="55"/>
      <c r="D18" s="77">
        <v>7.5</v>
      </c>
      <c r="E18" s="24" t="s">
        <v>10</v>
      </c>
      <c r="F18" s="27" t="s">
        <v>284</v>
      </c>
      <c r="G18" s="950"/>
      <c r="H18" s="841">
        <f>' 1 ZS-Aufzf..-Mast'!H18</f>
        <v>7</v>
      </c>
      <c r="I18" s="221" t="s">
        <v>117</v>
      </c>
      <c r="J18" s="25"/>
      <c r="K18" s="14"/>
      <c r="L18"/>
      <c r="M18"/>
      <c r="N18"/>
      <c r="O18"/>
      <c r="P18"/>
      <c r="Q18"/>
      <c r="R18"/>
    </row>
    <row r="19" spans="2:18" ht="24.75" customHeight="1">
      <c r="B19" s="28" t="s">
        <v>63</v>
      </c>
      <c r="C19" s="55"/>
      <c r="D19" s="11">
        <v>1</v>
      </c>
      <c r="E19" s="24" t="s">
        <v>119</v>
      </c>
      <c r="F19" s="55" t="s">
        <v>266</v>
      </c>
      <c r="G19" s="55"/>
      <c r="H19" s="1027">
        <f>SUM(H21:H28)</f>
        <v>281.487006</v>
      </c>
      <c r="I19" s="24" t="s">
        <v>114</v>
      </c>
      <c r="J19" s="25"/>
      <c r="K19" s="14"/>
      <c r="L19"/>
      <c r="M19"/>
      <c r="N19"/>
      <c r="O19"/>
      <c r="P19"/>
      <c r="Q19"/>
      <c r="R19"/>
    </row>
    <row r="20" spans="2:18" ht="24.75" customHeight="1">
      <c r="B20" s="28" t="s">
        <v>132</v>
      </c>
      <c r="C20" s="55"/>
      <c r="D20" s="178">
        <v>2</v>
      </c>
      <c r="E20" s="24" t="s">
        <v>120</v>
      </c>
      <c r="F20" s="55" t="s">
        <v>13</v>
      </c>
      <c r="G20" s="1025" t="s">
        <v>267</v>
      </c>
      <c r="H20" s="1016"/>
      <c r="I20" s="1026"/>
      <c r="J20" s="25"/>
      <c r="K20" s="14"/>
      <c r="L20"/>
      <c r="M20"/>
      <c r="N20"/>
      <c r="O20"/>
      <c r="P20"/>
      <c r="Q20"/>
      <c r="R20"/>
    </row>
    <row r="21" spans="2:18" ht="24.75" customHeight="1">
      <c r="B21" s="27" t="s">
        <v>308</v>
      </c>
      <c r="C21" s="222"/>
      <c r="D21" s="83">
        <f>' 1 ZS-Aufzf..-Mast'!D19</f>
        <v>3</v>
      </c>
      <c r="E21" s="221" t="s">
        <v>120</v>
      </c>
      <c r="F21" s="55" t="s">
        <v>14</v>
      </c>
      <c r="G21" s="1028">
        <v>100</v>
      </c>
      <c r="H21" s="946">
        <f>IF($I$7="",G21,G21/J21)</f>
        <v>100</v>
      </c>
      <c r="I21" s="24" t="s">
        <v>114</v>
      </c>
      <c r="J21" s="945">
        <f>1+$D$10</f>
        <v>1.19</v>
      </c>
      <c r="K21" s="14"/>
      <c r="L21"/>
      <c r="M21"/>
      <c r="N21"/>
      <c r="O21"/>
      <c r="P21"/>
      <c r="Q21"/>
      <c r="R21"/>
    </row>
    <row r="22" spans="2:18" ht="24.75" customHeight="1">
      <c r="B22" s="28" t="s">
        <v>23</v>
      </c>
      <c r="C22" s="55"/>
      <c r="D22" s="13">
        <v>2.5</v>
      </c>
      <c r="E22" s="24" t="s">
        <v>24</v>
      </c>
      <c r="F22" s="55" t="s">
        <v>15</v>
      </c>
      <c r="G22" s="1028">
        <v>13</v>
      </c>
      <c r="H22" s="946">
        <f aca="true" t="shared" si="0" ref="H22:H30">IF($I$7="",G22,G22/J22)</f>
        <v>13</v>
      </c>
      <c r="I22" s="24" t="s">
        <v>114</v>
      </c>
      <c r="J22" s="945">
        <f>1+D11</f>
        <v>1.07</v>
      </c>
      <c r="K22" s="14"/>
      <c r="L22"/>
      <c r="M22"/>
      <c r="N22"/>
      <c r="O22"/>
      <c r="P22"/>
      <c r="Q22"/>
      <c r="R22"/>
    </row>
    <row r="23" spans="2:18" ht="24.75" customHeight="1">
      <c r="B23" s="28" t="s">
        <v>17</v>
      </c>
      <c r="C23" s="55"/>
      <c r="D23" s="12">
        <f>' 1 ZS-Aufzf..-Mast'!D20</f>
        <v>170</v>
      </c>
      <c r="E23" s="24" t="s">
        <v>10</v>
      </c>
      <c r="F23" s="55" t="s">
        <v>16</v>
      </c>
      <c r="G23" s="1028">
        <v>25</v>
      </c>
      <c r="H23" s="946">
        <f t="shared" si="0"/>
        <v>25</v>
      </c>
      <c r="I23" s="24" t="s">
        <v>114</v>
      </c>
      <c r="J23" s="945">
        <f aca="true" t="shared" si="1" ref="J23:J30">1+$D$10</f>
        <v>1.19</v>
      </c>
      <c r="K23" s="14"/>
      <c r="L23"/>
      <c r="M23"/>
      <c r="N23"/>
      <c r="O23"/>
      <c r="P23"/>
      <c r="Q23"/>
      <c r="R23"/>
    </row>
    <row r="24" spans="2:18" ht="24.75" customHeight="1">
      <c r="B24" s="28" t="s">
        <v>19</v>
      </c>
      <c r="C24" s="55"/>
      <c r="D24" s="74">
        <f>' 1 ZS-Aufzf..-Mast'!D21</f>
        <v>1.3</v>
      </c>
      <c r="E24" s="24" t="s">
        <v>119</v>
      </c>
      <c r="F24" s="55" t="s">
        <v>18</v>
      </c>
      <c r="G24" s="1028">
        <v>80</v>
      </c>
      <c r="H24" s="946">
        <f t="shared" si="0"/>
        <v>80</v>
      </c>
      <c r="I24" s="24" t="s">
        <v>114</v>
      </c>
      <c r="J24" s="945">
        <f t="shared" si="1"/>
        <v>1.19</v>
      </c>
      <c r="K24" s="14"/>
      <c r="L24"/>
      <c r="M24"/>
      <c r="N24"/>
      <c r="O24"/>
      <c r="P24"/>
      <c r="Q24"/>
      <c r="R24"/>
    </row>
    <row r="25" spans="2:18" ht="24.75" customHeight="1">
      <c r="B25" s="28" t="s">
        <v>21</v>
      </c>
      <c r="C25" s="55"/>
      <c r="D25" s="75">
        <f>' 1 ZS-Aufzf..-Mast'!D22</f>
        <v>330</v>
      </c>
      <c r="E25" s="24" t="s">
        <v>114</v>
      </c>
      <c r="F25" s="55" t="s">
        <v>20</v>
      </c>
      <c r="G25" s="1028">
        <v>25</v>
      </c>
      <c r="H25" s="946">
        <f t="shared" si="0"/>
        <v>25</v>
      </c>
      <c r="I25" s="24" t="s">
        <v>114</v>
      </c>
      <c r="J25" s="945">
        <f t="shared" si="1"/>
        <v>1.19</v>
      </c>
      <c r="K25" s="14"/>
      <c r="L25"/>
      <c r="M25"/>
      <c r="N25"/>
      <c r="O25"/>
      <c r="P25"/>
      <c r="Q25"/>
      <c r="R25"/>
    </row>
    <row r="26" spans="2:18" ht="24.75" customHeight="1">
      <c r="B26" s="28" t="s">
        <v>64</v>
      </c>
      <c r="C26" s="55"/>
      <c r="D26" s="74">
        <v>150</v>
      </c>
      <c r="E26" s="24" t="s">
        <v>115</v>
      </c>
      <c r="F26" s="55" t="s">
        <v>22</v>
      </c>
      <c r="G26" s="1028">
        <v>10</v>
      </c>
      <c r="H26" s="946">
        <f t="shared" si="0"/>
        <v>10</v>
      </c>
      <c r="I26" s="24" t="s">
        <v>114</v>
      </c>
      <c r="J26" s="945">
        <f t="shared" si="1"/>
        <v>1.19</v>
      </c>
      <c r="K26" s="14"/>
      <c r="L26"/>
      <c r="M26"/>
      <c r="N26"/>
      <c r="O26"/>
      <c r="P26"/>
      <c r="Q26"/>
      <c r="R26"/>
    </row>
    <row r="27" spans="2:18" ht="24.75" customHeight="1">
      <c r="B27" s="28" t="s">
        <v>225</v>
      </c>
      <c r="C27" s="55"/>
      <c r="D27" s="74">
        <f>' 1 ZS-Aufzf..-Mast'!D25</f>
        <v>38</v>
      </c>
      <c r="E27" s="24" t="s">
        <v>115</v>
      </c>
      <c r="F27" s="177" t="s">
        <v>306</v>
      </c>
      <c r="G27" s="1028">
        <v>20</v>
      </c>
      <c r="H27" s="946">
        <f t="shared" si="0"/>
        <v>20</v>
      </c>
      <c r="I27" s="24" t="s">
        <v>114</v>
      </c>
      <c r="J27" s="945">
        <f t="shared" si="1"/>
        <v>1.19</v>
      </c>
      <c r="K27" s="14"/>
      <c r="L27"/>
      <c r="M27"/>
      <c r="N27"/>
      <c r="O27"/>
      <c r="P27"/>
      <c r="Q27"/>
      <c r="R27"/>
    </row>
    <row r="28" spans="2:18" ht="24.75" customHeight="1">
      <c r="B28" s="27" t="s">
        <v>27</v>
      </c>
      <c r="C28" s="222"/>
      <c r="D28" s="841">
        <f>' 1 ZS-Aufzf..-Mast'!D26</f>
        <v>25</v>
      </c>
      <c r="E28" s="221" t="s">
        <v>115</v>
      </c>
      <c r="F28" s="177" t="s">
        <v>292</v>
      </c>
      <c r="G28" s="1205">
        <v>0.02</v>
      </c>
      <c r="H28" s="197">
        <f>((D25*J11+D24*D23*J9)/2+0.2*(H21+H22+H23+H24+H25+H26+H27+G43+G44+G45))*G28</f>
        <v>8.487006000000001</v>
      </c>
      <c r="I28" s="24" t="s">
        <v>114</v>
      </c>
      <c r="J28" s="945"/>
      <c r="K28" s="14"/>
      <c r="L28"/>
      <c r="M28"/>
      <c r="N28"/>
      <c r="O28"/>
      <c r="P28"/>
      <c r="Q28"/>
      <c r="R28"/>
    </row>
    <row r="29" spans="2:18" ht="24.75" customHeight="1" thickBot="1">
      <c r="B29" s="759" t="s">
        <v>338</v>
      </c>
      <c r="C29" s="421"/>
      <c r="D29" s="840">
        <v>3500</v>
      </c>
      <c r="E29" s="780" t="s">
        <v>116</v>
      </c>
      <c r="F29" s="179"/>
      <c r="G29" s="951"/>
      <c r="H29" s="947"/>
      <c r="I29" s="180"/>
      <c r="J29" s="14"/>
      <c r="K29" s="14"/>
      <c r="L29"/>
      <c r="M29"/>
      <c r="N29"/>
      <c r="O29"/>
      <c r="P29"/>
      <c r="Q29"/>
      <c r="R29"/>
    </row>
    <row r="30" spans="2:18" ht="24.75" customHeight="1">
      <c r="B30" s="1190" t="s">
        <v>339</v>
      </c>
      <c r="C30" s="421"/>
      <c r="D30" s="779">
        <f>IF($E$7="",D29*$J$10-D29*$H$10%,D29*$J$10)</f>
        <v>4165</v>
      </c>
      <c r="E30" s="780" t="s">
        <v>116</v>
      </c>
      <c r="F30" s="68" t="s">
        <v>28</v>
      </c>
      <c r="G30" s="1029">
        <v>15</v>
      </c>
      <c r="H30" s="946">
        <f t="shared" si="0"/>
        <v>15</v>
      </c>
      <c r="I30" s="23" t="s">
        <v>117</v>
      </c>
      <c r="J30" s="945">
        <f t="shared" si="1"/>
        <v>1.19</v>
      </c>
      <c r="K30" s="14"/>
      <c r="L30"/>
      <c r="M30"/>
      <c r="N30"/>
      <c r="O30"/>
      <c r="P30"/>
      <c r="Q30"/>
      <c r="R30"/>
    </row>
    <row r="31" spans="2:18" ht="24.75" customHeight="1">
      <c r="B31" s="28" t="s">
        <v>337</v>
      </c>
      <c r="C31" s="55"/>
      <c r="D31" s="64">
        <v>20</v>
      </c>
      <c r="E31" s="24" t="s">
        <v>24</v>
      </c>
      <c r="F31" s="28" t="s">
        <v>291</v>
      </c>
      <c r="G31" s="1021"/>
      <c r="H31" s="58">
        <v>10</v>
      </c>
      <c r="I31" s="24" t="s">
        <v>29</v>
      </c>
      <c r="J31" s="14"/>
      <c r="K31" s="14"/>
      <c r="L31"/>
      <c r="M31"/>
      <c r="N31"/>
      <c r="O31"/>
      <c r="P31"/>
      <c r="Q31"/>
      <c r="R31"/>
    </row>
    <row r="32" spans="2:28" ht="24.75" customHeight="1" thickBot="1">
      <c r="B32" s="34" t="s">
        <v>336</v>
      </c>
      <c r="C32" s="216"/>
      <c r="D32" s="1030">
        <v>1</v>
      </c>
      <c r="E32" s="26" t="s">
        <v>5</v>
      </c>
      <c r="F32" s="1022"/>
      <c r="G32" s="1022"/>
      <c r="H32" s="1023"/>
      <c r="I32" s="1024"/>
      <c r="J32" s="14"/>
      <c r="K32" s="14"/>
      <c r="L32"/>
      <c r="M32"/>
      <c r="N32"/>
      <c r="O32"/>
      <c r="P32"/>
      <c r="Q32"/>
      <c r="R32"/>
      <c r="V32"/>
      <c r="W32"/>
      <c r="X32"/>
      <c r="Y32"/>
      <c r="Z32"/>
      <c r="AA32"/>
      <c r="AB32"/>
    </row>
    <row r="33" spans="2:28" ht="21.75" customHeight="1" thickBot="1">
      <c r="B33" s="43"/>
      <c r="C33" s="43"/>
      <c r="D33" s="44"/>
      <c r="E33" s="42"/>
      <c r="F33" s="43"/>
      <c r="G33" s="39"/>
      <c r="H33" s="44"/>
      <c r="I33" s="42"/>
      <c r="J33" s="14"/>
      <c r="K33" s="14"/>
      <c r="L33"/>
      <c r="M33"/>
      <c r="N33"/>
      <c r="O33"/>
      <c r="P33"/>
      <c r="Q33"/>
      <c r="R33"/>
      <c r="V33"/>
      <c r="W33"/>
      <c r="X33"/>
      <c r="Y33"/>
      <c r="Z33"/>
      <c r="AA33"/>
      <c r="AB33"/>
    </row>
    <row r="34" spans="2:18" ht="28.5" customHeight="1">
      <c r="B34" s="236" t="s">
        <v>275</v>
      </c>
      <c r="C34" s="962" t="str">
        <f>IF($I$6="",$H$7,$H$6)</f>
        <v>Pauschalierung </v>
      </c>
      <c r="D34" s="127"/>
      <c r="E34" s="127"/>
      <c r="F34" s="205" t="s">
        <v>227</v>
      </c>
      <c r="G34" s="128"/>
      <c r="H34" s="129"/>
      <c r="I34" s="130"/>
      <c r="J34" s="14"/>
      <c r="K34" s="14"/>
      <c r="L34"/>
      <c r="M34"/>
      <c r="N34"/>
      <c r="O34"/>
      <c r="P34"/>
      <c r="Q34"/>
      <c r="R34"/>
    </row>
    <row r="35" spans="2:18" ht="24.75" customHeight="1" thickBot="1">
      <c r="B35" s="81"/>
      <c r="C35" s="1068" t="str">
        <f>IF($E$6="","Ohne Förderung","Mit Förderung")</f>
        <v>Ohne Förderung</v>
      </c>
      <c r="D35" s="1069" t="str">
        <f>IF($E$6=0," ",$H$10/100)</f>
        <v> </v>
      </c>
      <c r="E35" s="131"/>
      <c r="F35" s="848">
        <v>23</v>
      </c>
      <c r="G35" s="849">
        <v>26</v>
      </c>
      <c r="H35" s="1335">
        <v>29</v>
      </c>
      <c r="I35" s="1336"/>
      <c r="J35" s="14"/>
      <c r="K35" s="14"/>
      <c r="L35" s="2"/>
      <c r="M35" s="2"/>
      <c r="N35" s="2"/>
      <c r="O35" s="2"/>
      <c r="P35" s="2"/>
      <c r="Q35" s="2"/>
      <c r="R35" s="2"/>
    </row>
    <row r="36" spans="2:18" ht="24.75" customHeight="1">
      <c r="B36" s="132" t="s">
        <v>65</v>
      </c>
      <c r="C36" s="361"/>
      <c r="D36" s="133"/>
      <c r="E36" s="117" t="s">
        <v>10</v>
      </c>
      <c r="F36" s="134">
        <f>$D$18</f>
        <v>7.5</v>
      </c>
      <c r="G36" s="134">
        <f>$D$18</f>
        <v>7.5</v>
      </c>
      <c r="H36" s="135">
        <f>$D$18</f>
        <v>7.5</v>
      </c>
      <c r="I36" s="122"/>
      <c r="J36" s="14"/>
      <c r="K36" s="14"/>
      <c r="L36" s="2"/>
      <c r="M36" s="2"/>
      <c r="N36" s="2"/>
      <c r="O36" s="2"/>
      <c r="P36" s="2"/>
      <c r="Q36" s="2"/>
      <c r="R36" s="2"/>
    </row>
    <row r="37" spans="2:18" ht="24.75" customHeight="1">
      <c r="B37" s="967" t="s">
        <v>67</v>
      </c>
      <c r="C37" s="968"/>
      <c r="D37" s="969"/>
      <c r="E37" s="67" t="s">
        <v>10</v>
      </c>
      <c r="F37" s="970">
        <f>($H$15+$H$16)*F35</f>
        <v>18.400000000000002</v>
      </c>
      <c r="G37" s="970">
        <f>($H$15+$H$16)*G35</f>
        <v>20.8</v>
      </c>
      <c r="H37" s="971">
        <f>($H$15+$H$16)*H35</f>
        <v>23.200000000000003</v>
      </c>
      <c r="I37" s="972"/>
      <c r="J37" s="14"/>
      <c r="K37" s="14"/>
      <c r="L37" s="2"/>
      <c r="M37" s="2"/>
      <c r="N37" s="2"/>
      <c r="O37" s="2"/>
      <c r="P37" s="2"/>
      <c r="Q37" s="2"/>
      <c r="R37" s="2"/>
    </row>
    <row r="38" spans="2:10" ht="24.75" customHeight="1">
      <c r="B38" s="132" t="s">
        <v>270</v>
      </c>
      <c r="C38" s="361"/>
      <c r="D38" s="133"/>
      <c r="E38" s="117" t="s">
        <v>117</v>
      </c>
      <c r="F38" s="140">
        <f>(($D$18-$D$17)*$D$19+$D$16+$D$20+$D$21)*$J$9</f>
        <v>45.630539999999996</v>
      </c>
      <c r="G38" s="140">
        <f>(($D$18-$D$17)*$D$19+$D$16+$D$20+$D$21)*$J$9</f>
        <v>45.630539999999996</v>
      </c>
      <c r="H38" s="141">
        <f>(($D$18-$D$17)*$D$19+$D$16+$D$20+$D$21)*$J$9</f>
        <v>45.630539999999996</v>
      </c>
      <c r="I38" s="138"/>
      <c r="J38" s="29"/>
    </row>
    <row r="39" spans="2:10" ht="24.75" customHeight="1">
      <c r="B39" s="132" t="s">
        <v>271</v>
      </c>
      <c r="C39" s="361"/>
      <c r="D39" s="133"/>
      <c r="E39" s="117" t="s">
        <v>117</v>
      </c>
      <c r="F39" s="136">
        <f>F35*F38</f>
        <v>1049.5024199999998</v>
      </c>
      <c r="G39" s="136">
        <f>G35*G38</f>
        <v>1186.39404</v>
      </c>
      <c r="H39" s="137">
        <f>H35*H38</f>
        <v>1323.28566</v>
      </c>
      <c r="I39" s="138"/>
      <c r="J39" s="16"/>
    </row>
    <row r="40" spans="2:10" ht="24.75" customHeight="1">
      <c r="B40" s="132" t="s">
        <v>30</v>
      </c>
      <c r="C40" s="361"/>
      <c r="D40" s="133"/>
      <c r="E40" s="117" t="s">
        <v>117</v>
      </c>
      <c r="F40" s="139">
        <f>(D23*D24*J9)/D22</f>
        <v>97.8588</v>
      </c>
      <c r="G40" s="140">
        <f>$F$40</f>
        <v>97.8588</v>
      </c>
      <c r="H40" s="141">
        <f>$F$40</f>
        <v>97.8588</v>
      </c>
      <c r="I40" s="142"/>
      <c r="J40" s="16"/>
    </row>
    <row r="41" spans="2:10" ht="24.75" customHeight="1">
      <c r="B41" s="132" t="s">
        <v>31</v>
      </c>
      <c r="C41" s="361"/>
      <c r="D41" s="133"/>
      <c r="E41" s="117" t="s">
        <v>117</v>
      </c>
      <c r="F41" s="139">
        <f>IF(I6="",$H$17*$H$18,$H$17*$H$18*(1+D10))</f>
        <v>41.65</v>
      </c>
      <c r="G41" s="139">
        <f>F41</f>
        <v>41.65</v>
      </c>
      <c r="H41" s="143">
        <f>F41</f>
        <v>41.65</v>
      </c>
      <c r="I41" s="144"/>
      <c r="J41" s="16"/>
    </row>
    <row r="42" spans="2:26" ht="24.75" customHeight="1">
      <c r="B42" s="66" t="s">
        <v>66</v>
      </c>
      <c r="C42" s="362"/>
      <c r="D42" s="145"/>
      <c r="E42" s="109" t="s">
        <v>117</v>
      </c>
      <c r="F42" s="146">
        <f>F39+F40+F41</f>
        <v>1189.0112199999999</v>
      </c>
      <c r="G42" s="146">
        <f>G39+G40+G41</f>
        <v>1325.90284</v>
      </c>
      <c r="H42" s="147">
        <f>H39+H40+H41</f>
        <v>1462.79446</v>
      </c>
      <c r="I42" s="148"/>
      <c r="J42" s="16"/>
      <c r="Q42"/>
      <c r="R42"/>
      <c r="S42"/>
      <c r="T42"/>
      <c r="U42"/>
      <c r="V42"/>
      <c r="W42"/>
      <c r="X42"/>
      <c r="Y42"/>
      <c r="Z42"/>
    </row>
    <row r="43" spans="2:9" ht="24.75" customHeight="1">
      <c r="B43" s="132" t="s">
        <v>25</v>
      </c>
      <c r="C43" s="361"/>
      <c r="D43" s="133"/>
      <c r="E43" s="117" t="s">
        <v>117</v>
      </c>
      <c r="F43" s="139">
        <f>$H$14*$D$28*$J$11</f>
        <v>321</v>
      </c>
      <c r="G43" s="139">
        <f>$H$14*$D$28*$J$11</f>
        <v>321</v>
      </c>
      <c r="H43" s="143">
        <f>$H$14*$D$28*$J$11</f>
        <v>321</v>
      </c>
      <c r="I43" s="144"/>
    </row>
    <row r="44" spans="2:10" ht="24.75" customHeight="1">
      <c r="B44" s="132" t="s">
        <v>68</v>
      </c>
      <c r="C44" s="361"/>
      <c r="D44" s="133"/>
      <c r="E44" s="117" t="s">
        <v>117</v>
      </c>
      <c r="F44" s="140">
        <f>F35*$H$15*$D$26*$J$11/100</f>
        <v>29.532000000000007</v>
      </c>
      <c r="G44" s="140">
        <f>G35*$H$15*$D$26*$J$11/100</f>
        <v>33.384</v>
      </c>
      <c r="H44" s="141">
        <f>H35*$H$15*$D$26*$J$11/100</f>
        <v>37.23600000000001</v>
      </c>
      <c r="I44" s="122"/>
      <c r="J44" s="16"/>
    </row>
    <row r="45" spans="2:20" ht="24.75" customHeight="1">
      <c r="B45" s="132" t="s">
        <v>222</v>
      </c>
      <c r="C45" s="361"/>
      <c r="D45" s="133"/>
      <c r="E45" s="117" t="s">
        <v>117</v>
      </c>
      <c r="F45" s="140">
        <f>F35*$H$16*$D$27*$J$11/100</f>
        <v>0</v>
      </c>
      <c r="G45" s="140">
        <f>G35*$H$16*$D$27*$J$11/100</f>
        <v>0</v>
      </c>
      <c r="H45" s="141">
        <f>H35*$H$16*$D$27*$J$11/100</f>
        <v>0</v>
      </c>
      <c r="I45" s="122"/>
      <c r="J45" s="14"/>
      <c r="K45" s="14"/>
      <c r="L45"/>
      <c r="M45"/>
      <c r="N45"/>
      <c r="O45"/>
      <c r="P45"/>
      <c r="Q45"/>
      <c r="R45"/>
      <c r="S45"/>
      <c r="T45"/>
    </row>
    <row r="46" spans="2:20" ht="24.75" customHeight="1">
      <c r="B46" s="132" t="s">
        <v>33</v>
      </c>
      <c r="C46" s="361"/>
      <c r="D46" s="133"/>
      <c r="E46" s="117" t="s">
        <v>117</v>
      </c>
      <c r="F46" s="140">
        <f>$D$25/$D$22*$J$11</f>
        <v>141.24</v>
      </c>
      <c r="G46" s="140">
        <f>$D$25/$D$22*$J$11</f>
        <v>141.24</v>
      </c>
      <c r="H46" s="141">
        <f>$D$25/$D$22*$J$11</f>
        <v>141.24</v>
      </c>
      <c r="I46" s="122"/>
      <c r="J46" s="14"/>
      <c r="K46" s="14"/>
      <c r="L46"/>
      <c r="M46"/>
      <c r="N46"/>
      <c r="O46"/>
      <c r="P46"/>
      <c r="Q46"/>
      <c r="R46"/>
      <c r="S46"/>
      <c r="T46"/>
    </row>
    <row r="47" spans="2:20" ht="24.75" customHeight="1">
      <c r="B47" s="132" t="s">
        <v>34</v>
      </c>
      <c r="C47" s="361"/>
      <c r="D47" s="133"/>
      <c r="E47" s="117" t="s">
        <v>117</v>
      </c>
      <c r="F47" s="281">
        <f>$H$19</f>
        <v>281.487006</v>
      </c>
      <c r="G47" s="281">
        <f>$H$19</f>
        <v>281.487006</v>
      </c>
      <c r="H47" s="282">
        <f>$H$19</f>
        <v>281.487006</v>
      </c>
      <c r="I47" s="284"/>
      <c r="J47" s="14"/>
      <c r="K47" s="14"/>
      <c r="L47"/>
      <c r="M47"/>
      <c r="N47"/>
      <c r="O47"/>
      <c r="P47"/>
      <c r="Q47"/>
      <c r="R47"/>
      <c r="S47"/>
      <c r="T47"/>
    </row>
    <row r="48" spans="2:20" ht="27" customHeight="1">
      <c r="B48" s="66" t="s">
        <v>35</v>
      </c>
      <c r="C48" s="362"/>
      <c r="D48" s="145"/>
      <c r="E48" s="109" t="s">
        <v>117</v>
      </c>
      <c r="F48" s="149">
        <f>F43+F44+F45+F46+F47</f>
        <v>773.259006</v>
      </c>
      <c r="G48" s="149">
        <f>G43+G44+G45+G46+G47</f>
        <v>777.1110060000001</v>
      </c>
      <c r="H48" s="150">
        <f>H43+H44+H45+H46+H47</f>
        <v>780.963006</v>
      </c>
      <c r="I48" s="151"/>
      <c r="J48" s="14"/>
      <c r="K48" s="14"/>
      <c r="L48"/>
      <c r="M48"/>
      <c r="N48"/>
      <c r="O48"/>
      <c r="P48"/>
      <c r="Q48"/>
      <c r="R48"/>
      <c r="S48"/>
      <c r="T48"/>
    </row>
    <row r="49" spans="2:20" ht="32.25" customHeight="1">
      <c r="B49" s="301" t="s">
        <v>36</v>
      </c>
      <c r="C49" s="363"/>
      <c r="D49" s="302"/>
      <c r="E49" s="303" t="s">
        <v>117</v>
      </c>
      <c r="F49" s="887">
        <f>F42-F48</f>
        <v>415.75221399999987</v>
      </c>
      <c r="G49" s="887">
        <f>G42-G48</f>
        <v>548.7918339999999</v>
      </c>
      <c r="H49" s="888">
        <f>H42-H48</f>
        <v>681.8314540000001</v>
      </c>
      <c r="I49" s="304"/>
      <c r="J49" s="14"/>
      <c r="K49" s="14"/>
      <c r="L49"/>
      <c r="M49"/>
      <c r="N49"/>
      <c r="O49"/>
      <c r="P49"/>
      <c r="Q49"/>
      <c r="R49"/>
      <c r="S49"/>
      <c r="T49"/>
    </row>
    <row r="50" spans="2:20" ht="32.25" customHeight="1">
      <c r="B50" s="305" t="s">
        <v>148</v>
      </c>
      <c r="C50" s="364"/>
      <c r="D50" s="306"/>
      <c r="E50" s="185" t="s">
        <v>5</v>
      </c>
      <c r="F50" s="307">
        <f>F49/(F51+F52+F55)</f>
        <v>0.8574420500128896</v>
      </c>
      <c r="G50" s="307">
        <f>G49/(G51+G52+G55)</f>
        <v>1.1318212611497807</v>
      </c>
      <c r="H50" s="1346">
        <f>H49/(H51+H52+H55)</f>
        <v>1.406200472286672</v>
      </c>
      <c r="I50" s="1347"/>
      <c r="J50" s="14"/>
      <c r="K50" s="14"/>
      <c r="L50"/>
      <c r="M50"/>
      <c r="N50"/>
      <c r="O50"/>
      <c r="P50"/>
      <c r="Q50"/>
      <c r="R50"/>
      <c r="S50"/>
      <c r="T50"/>
    </row>
    <row r="51" spans="2:20" ht="27" customHeight="1">
      <c r="B51" s="152" t="s">
        <v>37</v>
      </c>
      <c r="C51" s="996">
        <f>D30</f>
        <v>4165</v>
      </c>
      <c r="D51" s="1043">
        <f>100/D31+D32+H9/2</f>
        <v>7.5</v>
      </c>
      <c r="E51" s="153" t="s">
        <v>117</v>
      </c>
      <c r="F51" s="154">
        <f>G51</f>
        <v>312.375</v>
      </c>
      <c r="G51" s="154">
        <f>(D30/D31+(H9/2+D32)%*D30)</f>
        <v>312.375</v>
      </c>
      <c r="H51" s="155">
        <f>G51</f>
        <v>312.375</v>
      </c>
      <c r="I51" s="156"/>
      <c r="J51" s="14"/>
      <c r="K51" s="14"/>
      <c r="L51"/>
      <c r="M51"/>
      <c r="N51"/>
      <c r="O51"/>
      <c r="P51"/>
      <c r="Q51"/>
      <c r="R51"/>
      <c r="S51"/>
      <c r="T51"/>
    </row>
    <row r="52" spans="2:20" ht="25.5" customHeight="1">
      <c r="B52" s="157" t="s">
        <v>38</v>
      </c>
      <c r="C52" s="365"/>
      <c r="D52" s="158"/>
      <c r="E52" s="159" t="s">
        <v>117</v>
      </c>
      <c r="F52" s="160">
        <f>G52</f>
        <v>15</v>
      </c>
      <c r="G52" s="160">
        <f>H30</f>
        <v>15</v>
      </c>
      <c r="H52" s="161">
        <f>G52</f>
        <v>15</v>
      </c>
      <c r="I52" s="162"/>
      <c r="J52" s="14"/>
      <c r="K52" s="14"/>
      <c r="L52"/>
      <c r="M52"/>
      <c r="N52"/>
      <c r="O52"/>
      <c r="P52"/>
      <c r="Q52"/>
      <c r="R52"/>
      <c r="S52"/>
      <c r="T52"/>
    </row>
    <row r="53" spans="2:11" s="86" customFormat="1" ht="28.5" customHeight="1">
      <c r="B53" s="1193" t="s">
        <v>202</v>
      </c>
      <c r="C53" s="1191"/>
      <c r="D53" s="1192" t="s">
        <v>140</v>
      </c>
      <c r="E53" s="184" t="s">
        <v>117</v>
      </c>
      <c r="F53" s="889">
        <f>F49-F51-F52</f>
        <v>88.37721399999987</v>
      </c>
      <c r="G53" s="889">
        <f>G49-G51-G52</f>
        <v>221.41683399999988</v>
      </c>
      <c r="H53" s="1348">
        <f>H49-H51-H52</f>
        <v>354.4564540000001</v>
      </c>
      <c r="I53" s="1349"/>
      <c r="J53" s="85"/>
      <c r="K53" s="85"/>
    </row>
    <row r="54" spans="2:20" ht="28.5" customHeight="1">
      <c r="B54" s="174"/>
      <c r="C54" s="366"/>
      <c r="D54" s="1194" t="s">
        <v>139</v>
      </c>
      <c r="E54" s="1195" t="s">
        <v>117</v>
      </c>
      <c r="F54" s="1196">
        <f>F53/$H$31</f>
        <v>8.837721399999987</v>
      </c>
      <c r="G54" s="1196">
        <f>G53/$H$31</f>
        <v>22.141683399999987</v>
      </c>
      <c r="H54" s="1197">
        <f>H53/$H$31</f>
        <v>35.44564540000001</v>
      </c>
      <c r="I54" s="1198"/>
      <c r="J54" s="14"/>
      <c r="K54" s="14"/>
      <c r="L54"/>
      <c r="M54"/>
      <c r="N54"/>
      <c r="O54"/>
      <c r="P54"/>
      <c r="Q54"/>
      <c r="R54"/>
      <c r="S54"/>
      <c r="T54"/>
    </row>
    <row r="55" spans="2:20" ht="31.5" customHeight="1">
      <c r="B55" s="152" t="s">
        <v>40</v>
      </c>
      <c r="C55" s="999">
        <f>H31</f>
        <v>10</v>
      </c>
      <c r="D55" s="1044">
        <f>H11</f>
        <v>15.75</v>
      </c>
      <c r="E55" s="153" t="s">
        <v>117</v>
      </c>
      <c r="F55" s="154">
        <f>$H$31*$H$11</f>
        <v>157.5</v>
      </c>
      <c r="G55" s="154">
        <f>$H$31*$H$11</f>
        <v>157.5</v>
      </c>
      <c r="H55" s="155">
        <f>$H$31*$H$11</f>
        <v>157.5</v>
      </c>
      <c r="I55" s="156"/>
      <c r="J55" s="14"/>
      <c r="K55" s="14"/>
      <c r="L55"/>
      <c r="M55"/>
      <c r="N55"/>
      <c r="O55"/>
      <c r="P55"/>
      <c r="Q55"/>
      <c r="R55"/>
      <c r="S55"/>
      <c r="T55"/>
    </row>
    <row r="56" spans="2:20" ht="34.5" customHeight="1">
      <c r="B56" s="183" t="s">
        <v>141</v>
      </c>
      <c r="C56" s="367"/>
      <c r="D56" s="213"/>
      <c r="E56" s="214" t="s">
        <v>117</v>
      </c>
      <c r="F56" s="890">
        <f>F53-F55</f>
        <v>-69.12278600000013</v>
      </c>
      <c r="G56" s="890">
        <f>G53-G55</f>
        <v>63.91683399999988</v>
      </c>
      <c r="H56" s="891">
        <f>H53-H55</f>
        <v>196.95645400000012</v>
      </c>
      <c r="I56" s="215"/>
      <c r="J56" s="126"/>
      <c r="K56" s="14"/>
      <c r="L56"/>
      <c r="M56"/>
      <c r="N56"/>
      <c r="O56"/>
      <c r="P56"/>
      <c r="Q56"/>
      <c r="R56"/>
      <c r="S56"/>
      <c r="T56"/>
    </row>
    <row r="57" spans="2:20" ht="33.75" customHeight="1" thickBot="1">
      <c r="B57" s="173" t="s">
        <v>130</v>
      </c>
      <c r="C57" s="290"/>
      <c r="D57" s="290"/>
      <c r="E57" s="291" t="s">
        <v>5</v>
      </c>
      <c r="F57" s="271">
        <f>(F49-F52-F55-$D$30/$D$31-$D$30*$D$32%)/$D$30*2</f>
        <v>-0.0031922141656663297</v>
      </c>
      <c r="G57" s="271">
        <f>(G49-G52-G55-$D$30/$D$31-$D$30*$D$32%)/$D$30*2</f>
        <v>0.0606923572629051</v>
      </c>
      <c r="H57" s="1344">
        <f>(H49-H52-H55-$D$30/$D$31-$D$30*$D$32%)/$D$30*2</f>
        <v>0.12457692869147666</v>
      </c>
      <c r="I57" s="1345"/>
      <c r="J57" s="126"/>
      <c r="K57" s="14"/>
      <c r="L57"/>
      <c r="M57"/>
      <c r="N57"/>
      <c r="O57"/>
      <c r="P57"/>
      <c r="Q57"/>
      <c r="R57"/>
      <c r="S57"/>
      <c r="T57"/>
    </row>
    <row r="58" spans="2:20" ht="38.25" customHeight="1">
      <c r="B58" s="199" t="s">
        <v>289</v>
      </c>
      <c r="C58" s="198"/>
      <c r="D58" s="198"/>
      <c r="E58" s="200" t="s">
        <v>117</v>
      </c>
      <c r="F58" s="1201">
        <f>(F48+F51+F52+F55-F40-F41)/F35</f>
        <v>48.63587852173913</v>
      </c>
      <c r="G58" s="1201">
        <f>(G48+G51+G52+G55-G40-G41)/G35</f>
        <v>43.172200230769235</v>
      </c>
      <c r="H58" s="1202">
        <f>(H48+H51+H52+H55-H40-H41)/H35</f>
        <v>38.83893813793103</v>
      </c>
      <c r="I58" s="1203"/>
      <c r="J58" s="126"/>
      <c r="K58" s="14"/>
      <c r="L58"/>
      <c r="M58"/>
      <c r="N58"/>
      <c r="O58"/>
      <c r="P58"/>
      <c r="Q58"/>
      <c r="R58"/>
      <c r="S58"/>
      <c r="T58"/>
    </row>
    <row r="59" spans="2:20" ht="36" customHeight="1" thickBot="1">
      <c r="B59" s="201" t="s">
        <v>228</v>
      </c>
      <c r="C59" s="202"/>
      <c r="D59" s="202"/>
      <c r="E59" s="203" t="s">
        <v>117</v>
      </c>
      <c r="F59" s="751">
        <f>((-F56/F35)/$J$9+$D$16)/$D$15%</f>
        <v>57.99242590166737</v>
      </c>
      <c r="G59" s="751">
        <f>((-G56/G35)/$J$9+$D$16)/$D$15%</f>
        <v>50.73423166848561</v>
      </c>
      <c r="H59" s="1031">
        <f>((-H56/H35)/$J$9+$D$16)/$D$15%</f>
        <v>44.977732793893175</v>
      </c>
      <c r="I59" s="204"/>
      <c r="J59" s="126"/>
      <c r="K59" s="14"/>
      <c r="L59"/>
      <c r="M59"/>
      <c r="N59"/>
      <c r="O59"/>
      <c r="P59"/>
      <c r="Q59"/>
      <c r="R59"/>
      <c r="S59"/>
      <c r="T59"/>
    </row>
    <row r="60" spans="2:20" ht="13.5" customHeight="1">
      <c r="B60" s="163"/>
      <c r="C60" s="163"/>
      <c r="D60" s="163"/>
      <c r="E60" s="164"/>
      <c r="F60" s="911"/>
      <c r="G60" s="911"/>
      <c r="H60" s="912"/>
      <c r="I60" s="912"/>
      <c r="J60" s="126"/>
      <c r="K60" s="14"/>
      <c r="L60"/>
      <c r="M60"/>
      <c r="N60"/>
      <c r="O60"/>
      <c r="P60"/>
      <c r="Q60"/>
      <c r="R60"/>
      <c r="S60"/>
      <c r="T60"/>
    </row>
    <row r="61" spans="2:20" ht="20.25" customHeight="1">
      <c r="B61" s="163"/>
      <c r="C61" s="163"/>
      <c r="D61" s="163"/>
      <c r="E61" s="164"/>
      <c r="F61" s="911"/>
      <c r="G61" s="911"/>
      <c r="H61" s="912"/>
      <c r="I61" s="912"/>
      <c r="J61" s="126"/>
      <c r="K61" s="14"/>
      <c r="L61"/>
      <c r="M61"/>
      <c r="N61"/>
      <c r="O61"/>
      <c r="P61"/>
      <c r="Q61"/>
      <c r="R61"/>
      <c r="S61"/>
      <c r="T61"/>
    </row>
    <row r="62" spans="2:20" ht="8.25" customHeight="1">
      <c r="B62" s="163"/>
      <c r="C62" s="163"/>
      <c r="D62" s="163"/>
      <c r="E62" s="164"/>
      <c r="F62" s="911"/>
      <c r="G62" s="911"/>
      <c r="H62" s="912"/>
      <c r="I62" s="912"/>
      <c r="J62" s="126"/>
      <c r="K62" s="14"/>
      <c r="L62"/>
      <c r="M62"/>
      <c r="N62"/>
      <c r="O62"/>
      <c r="P62"/>
      <c r="Q62"/>
      <c r="R62"/>
      <c r="S62"/>
      <c r="T62"/>
    </row>
    <row r="63" spans="2:20" ht="36" customHeight="1">
      <c r="B63" s="163"/>
      <c r="C63" s="163"/>
      <c r="D63" s="163"/>
      <c r="E63" s="164"/>
      <c r="F63" s="911"/>
      <c r="G63" s="911"/>
      <c r="H63" s="912"/>
      <c r="I63" s="912"/>
      <c r="J63" s="126"/>
      <c r="K63" s="14"/>
      <c r="L63"/>
      <c r="M63"/>
      <c r="N63"/>
      <c r="O63"/>
      <c r="P63"/>
      <c r="Q63"/>
      <c r="R63"/>
      <c r="S63"/>
      <c r="T63"/>
    </row>
    <row r="64" spans="2:20" ht="21" customHeight="1" thickBot="1">
      <c r="B64" s="49"/>
      <c r="C64" s="49"/>
      <c r="D64" s="49"/>
      <c r="E64" s="50"/>
      <c r="F64" s="51"/>
      <c r="G64" s="51"/>
      <c r="H64" s="52"/>
      <c r="I64" s="53"/>
      <c r="J64" s="14"/>
      <c r="K64" s="14"/>
      <c r="L64"/>
      <c r="M64"/>
      <c r="N64"/>
      <c r="O64"/>
      <c r="P64"/>
      <c r="Q64"/>
      <c r="R64"/>
      <c r="S64"/>
      <c r="T64"/>
    </row>
    <row r="65" spans="2:20" ht="53.25" customHeight="1" thickBot="1">
      <c r="B65" s="1247" t="s">
        <v>99</v>
      </c>
      <c r="C65" s="1341"/>
      <c r="D65" s="1341"/>
      <c r="E65" s="1341"/>
      <c r="F65" s="1341"/>
      <c r="G65" s="1341"/>
      <c r="H65" s="1342" t="str">
        <f>H2</f>
        <v>Vers. 3.5
(10/2016 )</v>
      </c>
      <c r="I65" s="1343"/>
      <c r="J65" s="14"/>
      <c r="K65" s="14"/>
      <c r="L65"/>
      <c r="M65"/>
      <c r="N65"/>
      <c r="O65"/>
      <c r="P65"/>
      <c r="Q65"/>
      <c r="R65"/>
      <c r="S65"/>
      <c r="T65"/>
    </row>
    <row r="66" spans="2:20" ht="23.25" customHeight="1">
      <c r="B66" s="14"/>
      <c r="C66" s="14"/>
      <c r="D66" s="14"/>
      <c r="E66" s="14"/>
      <c r="F66" s="14"/>
      <c r="G66" s="14"/>
      <c r="H66" s="14"/>
      <c r="I66" s="14"/>
      <c r="J66" s="14"/>
      <c r="K66" s="14"/>
      <c r="L66"/>
      <c r="M66"/>
      <c r="N66"/>
      <c r="O66"/>
      <c r="P66"/>
      <c r="Q66"/>
      <c r="R66"/>
      <c r="S66"/>
      <c r="T66"/>
    </row>
    <row r="67" spans="2:20" ht="16.5" customHeight="1">
      <c r="B67" s="394" t="s">
        <v>41</v>
      </c>
      <c r="C67" s="18"/>
      <c r="D67" s="62" t="s">
        <v>1</v>
      </c>
      <c r="E67"/>
      <c r="F67" s="63" t="str">
        <f>F4</f>
        <v>Anfang Oktober 2016</v>
      </c>
      <c r="G67" s="61" t="str">
        <f>G4</f>
        <v>Datum: </v>
      </c>
      <c r="H67" s="1339">
        <f>H4</f>
        <v>42647</v>
      </c>
      <c r="I67" s="1340"/>
      <c r="J67" s="1"/>
      <c r="K67" s="14"/>
      <c r="L67"/>
      <c r="M67"/>
      <c r="N67"/>
      <c r="O67"/>
      <c r="P67"/>
      <c r="Q67"/>
      <c r="R67"/>
      <c r="S67"/>
      <c r="T67"/>
    </row>
    <row r="68" spans="2:20" ht="16.5" customHeight="1">
      <c r="B68" s="18"/>
      <c r="C68" s="18"/>
      <c r="D68" s="62"/>
      <c r="E68"/>
      <c r="F68" s="852"/>
      <c r="G68" s="61"/>
      <c r="H68" s="853"/>
      <c r="I68" s="854"/>
      <c r="J68" s="19"/>
      <c r="K68" s="14"/>
      <c r="L68"/>
      <c r="M68"/>
      <c r="N68"/>
      <c r="O68"/>
      <c r="P68"/>
      <c r="Q68"/>
      <c r="R68"/>
      <c r="S68"/>
      <c r="T68"/>
    </row>
    <row r="69" spans="2:20" ht="18.75" customHeight="1">
      <c r="B69" s="753" t="s">
        <v>245</v>
      </c>
      <c r="C69" s="855"/>
      <c r="D69" s="781" t="s">
        <v>246</v>
      </c>
      <c r="E69" s="856">
        <f>IF(E6="","",E6)</f>
      </c>
      <c r="F69" s="299" t="s">
        <v>265</v>
      </c>
      <c r="G69" s="61"/>
      <c r="H69" s="915" t="str">
        <f>H6</f>
        <v>Pauschalierung </v>
      </c>
      <c r="I69" s="933" t="str">
        <f>IF(I6="","",I6)</f>
        <v>x</v>
      </c>
      <c r="J69" s="32" t="s">
        <v>298</v>
      </c>
      <c r="K69" s="14"/>
      <c r="L69"/>
      <c r="M69"/>
      <c r="N69"/>
      <c r="O69"/>
      <c r="P69"/>
      <c r="Q69"/>
      <c r="R69"/>
      <c r="S69"/>
      <c r="T69"/>
    </row>
    <row r="70" spans="2:20" ht="18.75" customHeight="1">
      <c r="B70" s="857"/>
      <c r="C70" s="857"/>
      <c r="D70" s="781" t="s">
        <v>235</v>
      </c>
      <c r="E70" s="856" t="str">
        <f>E7</f>
        <v>X</v>
      </c>
      <c r="F70" s="852"/>
      <c r="G70" s="61"/>
      <c r="H70" s="915" t="str">
        <f>H7</f>
        <v>Regelbesteuerung </v>
      </c>
      <c r="I70" s="934">
        <f>I7</f>
      </c>
      <c r="J70" s="32" t="s">
        <v>299</v>
      </c>
      <c r="K70" s="14"/>
      <c r="L70"/>
      <c r="M70"/>
      <c r="N70"/>
      <c r="O70"/>
      <c r="P70"/>
      <c r="Q70"/>
      <c r="R70"/>
      <c r="S70"/>
      <c r="T70"/>
    </row>
    <row r="71" spans="2:20" ht="14.25" customHeight="1" thickBot="1">
      <c r="B71" s="14"/>
      <c r="C71" s="14"/>
      <c r="D71" s="14"/>
      <c r="E71" s="14"/>
      <c r="F71" s="14"/>
      <c r="G71" s="14"/>
      <c r="H71" s="14"/>
      <c r="I71" s="14"/>
      <c r="J71" s="19" t="s">
        <v>3</v>
      </c>
      <c r="K71" s="14"/>
      <c r="L71"/>
      <c r="M71"/>
      <c r="N71"/>
      <c r="O71"/>
      <c r="P71"/>
      <c r="Q71"/>
      <c r="R71"/>
      <c r="S71"/>
      <c r="T71"/>
    </row>
    <row r="72" spans="2:11" s="86" customFormat="1" ht="24.75" customHeight="1">
      <c r="B72" s="56" t="s">
        <v>4</v>
      </c>
      <c r="C72" s="359"/>
      <c r="D72" s="942">
        <f>E9</f>
        <v>0.107</v>
      </c>
      <c r="E72" s="84"/>
      <c r="F72" s="57" t="str">
        <f>F9</f>
        <v>Zinssatz für gebundenes Gebäudekapital ( i )</v>
      </c>
      <c r="G72" s="68"/>
      <c r="H72" s="944">
        <f>H9</f>
        <v>3</v>
      </c>
      <c r="I72" s="23" t="s">
        <v>5</v>
      </c>
      <c r="J72" s="21">
        <f>J9</f>
        <v>1.107</v>
      </c>
      <c r="K72" s="85"/>
    </row>
    <row r="73" spans="2:11" s="86" customFormat="1" ht="24.75" customHeight="1" thickBot="1">
      <c r="B73" s="69" t="s">
        <v>42</v>
      </c>
      <c r="C73" s="96"/>
      <c r="D73" s="943">
        <f>E11</f>
        <v>0.07</v>
      </c>
      <c r="E73" s="87"/>
      <c r="F73" s="71" t="s">
        <v>7</v>
      </c>
      <c r="G73" s="70"/>
      <c r="H73" s="253">
        <f>H11</f>
        <v>15.75</v>
      </c>
      <c r="I73" s="72" t="s">
        <v>117</v>
      </c>
      <c r="J73" s="76">
        <f>J11</f>
        <v>1.07</v>
      </c>
      <c r="K73" s="85"/>
    </row>
    <row r="74" spans="2:20" ht="31.5" customHeight="1" thickBot="1">
      <c r="B74" s="332" t="s">
        <v>251</v>
      </c>
      <c r="C74" s="332"/>
      <c r="D74" s="14"/>
      <c r="E74" s="14"/>
      <c r="F74" s="14"/>
      <c r="G74" s="14"/>
      <c r="H74" s="14"/>
      <c r="I74" s="14"/>
      <c r="J74"/>
      <c r="K74" s="19"/>
      <c r="L74" s="8"/>
      <c r="M74" s="9"/>
      <c r="N74" s="10"/>
      <c r="O74"/>
      <c r="P74"/>
      <c r="Q74"/>
      <c r="R74"/>
      <c r="S74"/>
      <c r="T74"/>
    </row>
    <row r="75" spans="2:20" ht="33.75" customHeight="1" thickBot="1">
      <c r="B75" s="342" t="s">
        <v>69</v>
      </c>
      <c r="C75" s="368"/>
      <c r="D75" s="343"/>
      <c r="E75" s="343"/>
      <c r="F75" s="343"/>
      <c r="G75" s="343"/>
      <c r="H75" s="343"/>
      <c r="I75" s="344"/>
      <c r="J75" s="14"/>
      <c r="K75" s="14"/>
      <c r="L75"/>
      <c r="M75"/>
      <c r="N75"/>
      <c r="O75"/>
      <c r="P75"/>
      <c r="Q75"/>
      <c r="R75"/>
      <c r="S75"/>
      <c r="T75"/>
    </row>
    <row r="76" spans="2:20" ht="27.75" customHeight="1">
      <c r="B76" s="110" t="s">
        <v>166</v>
      </c>
      <c r="C76" s="369"/>
      <c r="D76" s="341"/>
      <c r="E76" s="88"/>
      <c r="F76" s="73"/>
      <c r="G76" s="339"/>
      <c r="H76" s="391"/>
      <c r="I76" s="88"/>
      <c r="J76" s="14"/>
      <c r="K76" s="14"/>
      <c r="L76"/>
      <c r="M76"/>
      <c r="N76"/>
      <c r="O76"/>
      <c r="P76"/>
      <c r="Q76"/>
      <c r="R76"/>
      <c r="S76"/>
      <c r="T76"/>
    </row>
    <row r="77" spans="2:11" s="86" customFormat="1" ht="24.75" customHeight="1">
      <c r="B77" s="73" t="str">
        <f>B14</f>
        <v>Ferkelbasispreis 25 kg, 200 er Gruppe (o. Mwst)</v>
      </c>
      <c r="C77" s="89"/>
      <c r="D77" s="341">
        <f>D14</f>
        <v>54</v>
      </c>
      <c r="E77" s="88" t="s">
        <v>117</v>
      </c>
      <c r="F77" s="73" t="s">
        <v>156</v>
      </c>
      <c r="G77" s="339"/>
      <c r="H77" s="170">
        <v>100</v>
      </c>
      <c r="I77" s="88" t="s">
        <v>115</v>
      </c>
      <c r="J77" s="85"/>
      <c r="K77" s="85"/>
    </row>
    <row r="78" spans="2:11" s="86" customFormat="1" ht="24.75" customHeight="1">
      <c r="B78" s="73" t="s">
        <v>70</v>
      </c>
      <c r="C78" s="89"/>
      <c r="D78" s="218">
        <v>32</v>
      </c>
      <c r="E78" s="88" t="s">
        <v>10</v>
      </c>
      <c r="F78" s="1350" t="s">
        <v>78</v>
      </c>
      <c r="G78" s="1351"/>
      <c r="H78" s="82">
        <v>60</v>
      </c>
      <c r="I78" s="88" t="s">
        <v>115</v>
      </c>
      <c r="J78" s="85"/>
      <c r="K78" s="85"/>
    </row>
    <row r="79" spans="2:11" s="86" customFormat="1" ht="24.75" customHeight="1">
      <c r="B79" s="73" t="str">
        <f>' 1 ZS-Aufzf..-Mast'!B15</f>
        <v>Basisgewicht Ferkel für obigen Preis</v>
      </c>
      <c r="C79" s="89"/>
      <c r="D79" s="12">
        <v>25</v>
      </c>
      <c r="E79" s="88" t="s">
        <v>10</v>
      </c>
      <c r="F79" s="1352" t="s">
        <v>77</v>
      </c>
      <c r="G79" s="1353"/>
      <c r="H79" s="841">
        <f>' 1 ZS-Aufzf..-Mast'!D25</f>
        <v>38</v>
      </c>
      <c r="I79" s="95" t="s">
        <v>115</v>
      </c>
      <c r="J79" s="85"/>
      <c r="K79" s="85"/>
    </row>
    <row r="80" spans="2:24" s="86" customFormat="1" ht="24.75" customHeight="1">
      <c r="B80" s="73" t="s">
        <v>340</v>
      </c>
      <c r="C80" s="89"/>
      <c r="D80" s="331">
        <v>1</v>
      </c>
      <c r="E80" s="90" t="s">
        <v>119</v>
      </c>
      <c r="F80" s="73" t="s">
        <v>8</v>
      </c>
      <c r="G80" s="98"/>
      <c r="H80" s="77">
        <v>0.1</v>
      </c>
      <c r="I80" s="88" t="s">
        <v>9</v>
      </c>
      <c r="J80" s="948"/>
      <c r="K80" s="91"/>
      <c r="L80" s="92"/>
      <c r="M80" s="721"/>
      <c r="N80" s="722"/>
      <c r="O80" s="878" t="str">
        <f>B13</f>
        <v>Zuchtsau mit Babyferkeln</v>
      </c>
      <c r="P80" s="878" t="str">
        <f>B75</f>
        <v>Ferkelaufzucht</v>
      </c>
      <c r="R80"/>
      <c r="S80"/>
      <c r="T80" s="93"/>
      <c r="U80" s="93"/>
      <c r="V80" s="93"/>
      <c r="W80" s="93"/>
      <c r="X80" s="93"/>
    </row>
    <row r="81" spans="2:24" s="86" customFormat="1" ht="24.75" customHeight="1" thickBot="1">
      <c r="B81" s="354" t="s">
        <v>309</v>
      </c>
      <c r="C81" s="370"/>
      <c r="D81" s="355">
        <v>7</v>
      </c>
      <c r="E81" s="356" t="s">
        <v>117</v>
      </c>
      <c r="F81" s="73" t="s">
        <v>11</v>
      </c>
      <c r="G81" s="957" t="s">
        <v>268</v>
      </c>
      <c r="H81" s="75">
        <v>7</v>
      </c>
      <c r="I81" s="88" t="s">
        <v>117</v>
      </c>
      <c r="J81" s="948">
        <f aca="true" t="shared" si="2" ref="J81:J90">1+$D$10</f>
        <v>1.19</v>
      </c>
      <c r="K81" s="91"/>
      <c r="L81" s="92"/>
      <c r="M81" s="18" t="s">
        <v>33</v>
      </c>
      <c r="N81" s="260"/>
      <c r="O81" s="685">
        <f>G46</f>
        <v>141.24</v>
      </c>
      <c r="P81" s="877">
        <f>G106</f>
        <v>45.7104</v>
      </c>
      <c r="Q81" s="685"/>
      <c r="R81"/>
      <c r="S81"/>
      <c r="T81" s="93"/>
      <c r="U81" s="93"/>
      <c r="V81" s="93"/>
      <c r="W81" s="93"/>
      <c r="X81" s="93"/>
    </row>
    <row r="82" spans="2:24" s="86" customFormat="1" ht="24.75" customHeight="1">
      <c r="B82" s="110" t="s">
        <v>167</v>
      </c>
      <c r="C82" s="369"/>
      <c r="D82" s="206"/>
      <c r="E82" s="90"/>
      <c r="F82" s="56" t="s">
        <v>272</v>
      </c>
      <c r="G82" s="359"/>
      <c r="H82" s="225">
        <f>SUM(H84:H89)</f>
        <v>3.8467209285714286</v>
      </c>
      <c r="I82" s="958" t="s">
        <v>114</v>
      </c>
      <c r="J82" s="91"/>
      <c r="K82" s="91"/>
      <c r="L82" s="92"/>
      <c r="M82" s="18" t="s">
        <v>187</v>
      </c>
      <c r="N82" s="260"/>
      <c r="O82" s="685">
        <f>G43+G44+G45</f>
        <v>354.384</v>
      </c>
      <c r="P82" s="685">
        <f>G107</f>
        <v>19.771459999999998</v>
      </c>
      <c r="Q82" s="685"/>
      <c r="R82"/>
      <c r="S82"/>
      <c r="T82" s="93"/>
      <c r="U82" s="93"/>
      <c r="V82" s="93"/>
      <c r="W82" s="93"/>
      <c r="X82" s="93"/>
    </row>
    <row r="83" spans="2:24" s="86" customFormat="1" ht="24.75" customHeight="1">
      <c r="B83" s="73" t="s">
        <v>73</v>
      </c>
      <c r="C83" s="89"/>
      <c r="D83" s="186">
        <f>D16</f>
        <v>36.72</v>
      </c>
      <c r="E83" s="88" t="s">
        <v>114</v>
      </c>
      <c r="F83" s="73" t="s">
        <v>13</v>
      </c>
      <c r="G83" s="1025" t="s">
        <v>267</v>
      </c>
      <c r="H83" s="954"/>
      <c r="I83" s="88"/>
      <c r="J83" s="91"/>
      <c r="K83" s="91"/>
      <c r="L83" s="92"/>
      <c r="M83" s="16" t="s">
        <v>197</v>
      </c>
      <c r="N83" s="260"/>
      <c r="O83" s="685">
        <f>G47</f>
        <v>281.487006</v>
      </c>
      <c r="P83" s="685">
        <f>G108+G109</f>
        <v>5.514604828571429</v>
      </c>
      <c r="Q83" s="685"/>
      <c r="R83"/>
      <c r="S83"/>
      <c r="T83" s="93"/>
      <c r="U83" s="93"/>
      <c r="V83" s="93"/>
      <c r="W83" s="93"/>
      <c r="X83" s="93"/>
    </row>
    <row r="84" spans="2:24" s="86" customFormat="1" ht="24.75" customHeight="1">
      <c r="B84" s="73" t="s">
        <v>62</v>
      </c>
      <c r="C84" s="89"/>
      <c r="D84" s="187">
        <f>D18</f>
        <v>7.5</v>
      </c>
      <c r="E84" s="88" t="s">
        <v>10</v>
      </c>
      <c r="F84" s="73" t="s">
        <v>14</v>
      </c>
      <c r="G84" s="953">
        <v>1.5</v>
      </c>
      <c r="H84" s="949">
        <f>IF($I$70="",G84,G84/J84)</f>
        <v>1.5</v>
      </c>
      <c r="I84" s="88" t="s">
        <v>114</v>
      </c>
      <c r="J84" s="948">
        <f>1+$D$10</f>
        <v>1.19</v>
      </c>
      <c r="K84" s="91"/>
      <c r="L84" s="92"/>
      <c r="M84" s="16" t="s">
        <v>198</v>
      </c>
      <c r="N84" s="260"/>
      <c r="O84" s="685">
        <f>G51+G52</f>
        <v>327.375</v>
      </c>
      <c r="P84" s="685">
        <f>(G114+G115)/H92</f>
        <v>5.845982142857142</v>
      </c>
      <c r="Q84" s="685"/>
      <c r="R84"/>
      <c r="S84"/>
      <c r="T84" s="93"/>
      <c r="U84" s="93"/>
      <c r="V84" s="93"/>
      <c r="W84" s="93"/>
      <c r="X84" s="93"/>
    </row>
    <row r="85" spans="2:24" s="86" customFormat="1" ht="24.75" customHeight="1">
      <c r="B85" s="73" t="s">
        <v>75</v>
      </c>
      <c r="C85" s="89"/>
      <c r="D85" s="187">
        <f>D17</f>
        <v>8</v>
      </c>
      <c r="E85" s="88" t="s">
        <v>10</v>
      </c>
      <c r="F85" s="73" t="s">
        <v>18</v>
      </c>
      <c r="G85" s="953">
        <v>1</v>
      </c>
      <c r="H85" s="949">
        <f>IF($I$70="",G85,G85/J85)</f>
        <v>1</v>
      </c>
      <c r="I85" s="88" t="s">
        <v>114</v>
      </c>
      <c r="J85" s="948">
        <f t="shared" si="2"/>
        <v>1.19</v>
      </c>
      <c r="K85" s="91"/>
      <c r="L85" s="92"/>
      <c r="M85" s="16" t="s">
        <v>190</v>
      </c>
      <c r="N85" s="260"/>
      <c r="O85" s="685">
        <f>G55</f>
        <v>157.5</v>
      </c>
      <c r="P85" s="685">
        <f>G118/H92</f>
        <v>2.2500000000000004</v>
      </c>
      <c r="Q85" s="685"/>
      <c r="R85"/>
      <c r="S85"/>
      <c r="T85" s="93"/>
      <c r="U85" s="93"/>
      <c r="V85" s="93"/>
      <c r="W85" s="93"/>
      <c r="X85" s="93"/>
    </row>
    <row r="86" spans="2:24" s="86" customFormat="1" ht="24.75" customHeight="1">
      <c r="B86" s="73" t="s">
        <v>121</v>
      </c>
      <c r="C86" s="89"/>
      <c r="D86" s="357">
        <f>D19</f>
        <v>1</v>
      </c>
      <c r="E86" s="90" t="s">
        <v>119</v>
      </c>
      <c r="F86" s="73" t="s">
        <v>74</v>
      </c>
      <c r="G86" s="953">
        <v>0.8</v>
      </c>
      <c r="H86" s="949">
        <f>IF($I$70="",G86,G86/J86)</f>
        <v>0.8</v>
      </c>
      <c r="I86" s="88" t="s">
        <v>114</v>
      </c>
      <c r="J86" s="948">
        <f t="shared" si="2"/>
        <v>1.19</v>
      </c>
      <c r="K86" s="91"/>
      <c r="L86" s="92"/>
      <c r="M86" s="691" t="s">
        <v>194</v>
      </c>
      <c r="N86" s="260"/>
      <c r="O86" s="690">
        <f>SUM(O81:O85)</f>
        <v>1261.986006</v>
      </c>
      <c r="P86" s="690">
        <f>SUM(P81:P85)</f>
        <v>79.09244697142856</v>
      </c>
      <c r="Q86" s="685"/>
      <c r="R86"/>
      <c r="S86"/>
      <c r="T86" s="93"/>
      <c r="U86" s="93"/>
      <c r="V86" s="93"/>
      <c r="W86" s="93"/>
      <c r="X86" s="93"/>
    </row>
    <row r="87" spans="2:24" s="86" customFormat="1" ht="24.75" customHeight="1">
      <c r="B87" s="73" t="s">
        <v>172</v>
      </c>
      <c r="C87" s="89"/>
      <c r="D87" s="206">
        <f>(D20+D21)</f>
        <v>5</v>
      </c>
      <c r="E87" s="88" t="s">
        <v>114</v>
      </c>
      <c r="F87" s="73" t="s">
        <v>22</v>
      </c>
      <c r="G87" s="953">
        <v>0.1</v>
      </c>
      <c r="H87" s="949">
        <f>IF($I$70="",G87,G87/J87)</f>
        <v>0.1</v>
      </c>
      <c r="I87" s="88" t="s">
        <v>114</v>
      </c>
      <c r="J87" s="948">
        <f t="shared" si="2"/>
        <v>1.19</v>
      </c>
      <c r="K87" s="91"/>
      <c r="L87" s="92"/>
      <c r="M87" s="18"/>
      <c r="N87" s="260"/>
      <c r="O87" s="260"/>
      <c r="P87" s="680"/>
      <c r="Q87" s="685"/>
      <c r="R87"/>
      <c r="S87"/>
      <c r="T87" s="93"/>
      <c r="U87" s="93"/>
      <c r="V87" s="93"/>
      <c r="W87" s="93"/>
      <c r="X87" s="93"/>
    </row>
    <row r="88" spans="2:24" s="86" customFormat="1" ht="24.75" customHeight="1">
      <c r="B88" s="94" t="s">
        <v>76</v>
      </c>
      <c r="C88" s="371"/>
      <c r="D88" s="219">
        <v>1.5</v>
      </c>
      <c r="E88" s="95" t="s">
        <v>114</v>
      </c>
      <c r="F88" s="73" t="s">
        <v>160</v>
      </c>
      <c r="G88" s="953">
        <v>0.2</v>
      </c>
      <c r="H88" s="949">
        <f>IF($I$70="",G88,G88/J88)</f>
        <v>0.2</v>
      </c>
      <c r="I88" s="88" t="s">
        <v>114</v>
      </c>
      <c r="J88" s="948">
        <f t="shared" si="2"/>
        <v>1.19</v>
      </c>
      <c r="K88" s="91"/>
      <c r="L88" s="92"/>
      <c r="M88" s="18" t="s">
        <v>33</v>
      </c>
      <c r="N88" s="260"/>
      <c r="O88" s="879">
        <f>O81/$O$86</f>
        <v>0.11191883216492655</v>
      </c>
      <c r="P88" s="879">
        <f>P81/$P$86</f>
        <v>0.5779363485430218</v>
      </c>
      <c r="Q88" s="685"/>
      <c r="R88"/>
      <c r="S88"/>
      <c r="T88" s="93"/>
      <c r="U88" s="93"/>
      <c r="V88" s="93"/>
      <c r="W88" s="93"/>
      <c r="X88" s="93"/>
    </row>
    <row r="89" spans="2:24" s="86" customFormat="1" ht="24.75" customHeight="1">
      <c r="B89" s="73" t="s">
        <v>161</v>
      </c>
      <c r="C89" s="89"/>
      <c r="D89" s="77">
        <v>1</v>
      </c>
      <c r="E89" s="340" t="s">
        <v>72</v>
      </c>
      <c r="F89" s="601" t="s">
        <v>286</v>
      </c>
      <c r="G89" s="1206">
        <f>G28</f>
        <v>0.02</v>
      </c>
      <c r="H89" s="186">
        <f>(G106+G107+H84+H85+H86+H87+H88)*G89/H92</f>
        <v>0.24672092857142858</v>
      </c>
      <c r="I89" s="88" t="s">
        <v>114</v>
      </c>
      <c r="J89" s="948">
        <v>1</v>
      </c>
      <c r="M89" s="18" t="s">
        <v>187</v>
      </c>
      <c r="N89" s="260"/>
      <c r="O89" s="879">
        <f>O82/$O$86</f>
        <v>0.28081452434108845</v>
      </c>
      <c r="P89" s="879">
        <f>P82/$P$86</f>
        <v>0.24997911630098207</v>
      </c>
      <c r="Q89" s="685"/>
      <c r="R89"/>
      <c r="S89"/>
      <c r="T89" s="93"/>
      <c r="U89" s="93"/>
      <c r="V89" s="93"/>
      <c r="W89" s="93"/>
      <c r="X89" s="93"/>
    </row>
    <row r="90" spans="2:24" s="86" customFormat="1" ht="24.75" customHeight="1" thickBot="1">
      <c r="B90" s="69" t="s">
        <v>71</v>
      </c>
      <c r="C90" s="371"/>
      <c r="D90" s="188">
        <v>5</v>
      </c>
      <c r="E90" s="95" t="s">
        <v>72</v>
      </c>
      <c r="F90" s="99"/>
      <c r="G90" s="955"/>
      <c r="H90" s="956"/>
      <c r="I90" s="959"/>
      <c r="J90" s="948">
        <f t="shared" si="2"/>
        <v>1.19</v>
      </c>
      <c r="M90" s="16" t="s">
        <v>197</v>
      </c>
      <c r="N90" s="260"/>
      <c r="O90" s="879">
        <f>O83/$O$86</f>
        <v>0.22305081408327437</v>
      </c>
      <c r="P90" s="879">
        <f>P83/$P$86</f>
        <v>0.06972353290022157</v>
      </c>
      <c r="Q90" s="685"/>
      <c r="R90"/>
      <c r="S90"/>
      <c r="T90" s="93"/>
      <c r="U90" s="93"/>
      <c r="V90" s="93"/>
      <c r="W90" s="93"/>
      <c r="X90" s="93"/>
    </row>
    <row r="91" spans="2:24" s="86" customFormat="1" ht="24.75" customHeight="1">
      <c r="B91" s="1190" t="s">
        <v>342</v>
      </c>
      <c r="C91" s="776"/>
      <c r="D91" s="840">
        <v>350</v>
      </c>
      <c r="E91" s="777" t="s">
        <v>116</v>
      </c>
      <c r="F91" s="97" t="s">
        <v>79</v>
      </c>
      <c r="G91" s="952">
        <v>1.5</v>
      </c>
      <c r="H91" s="949">
        <f>IF($I$70="",G91,G91/J90)</f>
        <v>1.5</v>
      </c>
      <c r="I91" s="88" t="s">
        <v>117</v>
      </c>
      <c r="M91" s="16" t="s">
        <v>198</v>
      </c>
      <c r="N91" s="260"/>
      <c r="O91" s="879">
        <f>O84/$O$86</f>
        <v>0.25941254375525935</v>
      </c>
      <c r="P91" s="879">
        <f>P84/$P$86</f>
        <v>0.07391327954449242</v>
      </c>
      <c r="Q91" s="685"/>
      <c r="R91"/>
      <c r="S91"/>
      <c r="T91" s="93"/>
      <c r="U91" s="93"/>
      <c r="V91" s="93"/>
      <c r="W91" s="93"/>
      <c r="X91" s="93"/>
    </row>
    <row r="92" spans="2:24" s="86" customFormat="1" ht="24.75" customHeight="1">
      <c r="B92" s="1190" t="s">
        <v>341</v>
      </c>
      <c r="C92" s="778"/>
      <c r="D92" s="779">
        <f>IF($E$7="",D91*$J$10-D91*$H$10%,D91*$J$10)</f>
        <v>416.5</v>
      </c>
      <c r="E92" s="780" t="s">
        <v>116</v>
      </c>
      <c r="F92" s="73" t="s">
        <v>50</v>
      </c>
      <c r="G92" s="98"/>
      <c r="H92" s="77">
        <v>5.6</v>
      </c>
      <c r="I92" s="88"/>
      <c r="K92" s="91"/>
      <c r="L92" s="92"/>
      <c r="M92" s="16" t="s">
        <v>190</v>
      </c>
      <c r="N92" s="260"/>
      <c r="O92" s="879">
        <f>O85/$O$86</f>
        <v>0.12480328565545123</v>
      </c>
      <c r="P92" s="879">
        <f>P85/$P$86</f>
        <v>0.028447722711282316</v>
      </c>
      <c r="Q92" s="685"/>
      <c r="R92"/>
      <c r="S92"/>
      <c r="T92" s="93"/>
      <c r="U92" s="93"/>
      <c r="V92" s="93"/>
      <c r="W92" s="93"/>
      <c r="X92" s="93"/>
    </row>
    <row r="93" spans="2:24" s="86" customFormat="1" ht="24.75" customHeight="1">
      <c r="B93" s="73" t="s">
        <v>337</v>
      </c>
      <c r="C93" s="89"/>
      <c r="D93" s="64">
        <v>20</v>
      </c>
      <c r="E93" s="88" t="s">
        <v>24</v>
      </c>
      <c r="F93" s="73" t="s">
        <v>52</v>
      </c>
      <c r="G93" s="98"/>
      <c r="H93" s="223">
        <v>0.8</v>
      </c>
      <c r="I93" s="88" t="s">
        <v>29</v>
      </c>
      <c r="K93" s="91"/>
      <c r="L93" s="92"/>
      <c r="M93" s="691" t="s">
        <v>194</v>
      </c>
      <c r="N93" s="260"/>
      <c r="O93" s="880">
        <f>SUM(O88:O92)</f>
        <v>1</v>
      </c>
      <c r="P93" s="880">
        <f>SUM(P88:P92)</f>
        <v>1.0000000000000002</v>
      </c>
      <c r="Q93" s="685"/>
      <c r="R93"/>
      <c r="S93"/>
      <c r="T93" s="93"/>
      <c r="U93" s="93"/>
      <c r="V93" s="93"/>
      <c r="W93" s="93"/>
      <c r="X93" s="93"/>
    </row>
    <row r="94" spans="2:24" s="86" customFormat="1" ht="24.75" customHeight="1" thickBot="1">
      <c r="B94" s="69" t="s">
        <v>336</v>
      </c>
      <c r="C94" s="96"/>
      <c r="D94" s="65">
        <v>1</v>
      </c>
      <c r="E94" s="87" t="s">
        <v>5</v>
      </c>
      <c r="F94" s="99"/>
      <c r="G94" s="955"/>
      <c r="H94" s="956"/>
      <c r="I94" s="959"/>
      <c r="J94" s="91"/>
      <c r="K94" s="91"/>
      <c r="L94" s="92"/>
      <c r="M94" s="18"/>
      <c r="N94" s="260"/>
      <c r="O94" s="260"/>
      <c r="P94" s="686"/>
      <c r="Q94" s="685"/>
      <c r="R94"/>
      <c r="S94"/>
      <c r="T94" s="93"/>
      <c r="U94" s="93"/>
      <c r="V94" s="93"/>
      <c r="W94" s="93"/>
      <c r="X94" s="93"/>
    </row>
    <row r="95" spans="2:24" s="86" customFormat="1" ht="17.25" customHeight="1">
      <c r="B95" s="181"/>
      <c r="C95" s="181"/>
      <c r="J95" s="91"/>
      <c r="K95" s="91"/>
      <c r="L95" s="92"/>
      <c r="M95" s="18"/>
      <c r="N95" s="260"/>
      <c r="O95" s="260"/>
      <c r="P95" s="260"/>
      <c r="Q95" s="685"/>
      <c r="R95"/>
      <c r="S95"/>
      <c r="T95" s="93"/>
      <c r="U95" s="93"/>
      <c r="V95" s="93"/>
      <c r="W95" s="93"/>
      <c r="X95" s="93"/>
    </row>
    <row r="96" spans="2:24" s="86" customFormat="1" ht="7.5" customHeight="1" thickBot="1">
      <c r="B96" s="100"/>
      <c r="C96" s="100"/>
      <c r="D96" s="48"/>
      <c r="E96" s="101"/>
      <c r="F96" s="100"/>
      <c r="G96" s="101"/>
      <c r="H96" s="45"/>
      <c r="I96" s="102"/>
      <c r="J96" s="91"/>
      <c r="K96" s="91"/>
      <c r="L96" s="92"/>
      <c r="M96" s="688"/>
      <c r="N96" s="276"/>
      <c r="O96" s="276"/>
      <c r="P96" s="689"/>
      <c r="Q96" s="690"/>
      <c r="R96" s="224"/>
      <c r="S96" s="224"/>
      <c r="T96" s="93"/>
      <c r="U96" s="93"/>
      <c r="V96" s="93"/>
      <c r="W96" s="93"/>
      <c r="X96" s="93"/>
    </row>
    <row r="97" spans="2:24" s="86" customFormat="1" ht="24.75" customHeight="1">
      <c r="B97" s="236" t="s">
        <v>275</v>
      </c>
      <c r="C97" s="962" t="str">
        <f>IF($I$6="",$H$7,$H$6)</f>
        <v>Pauschalierung </v>
      </c>
      <c r="D97" s="46"/>
      <c r="E97" s="103"/>
      <c r="F97" s="125" t="s">
        <v>80</v>
      </c>
      <c r="G97" s="40"/>
      <c r="H97" s="47"/>
      <c r="I97" s="41"/>
      <c r="J97" s="91"/>
      <c r="K97" s="91"/>
      <c r="L97" s="92"/>
      <c r="M97" s="18"/>
      <c r="N97" s="681"/>
      <c r="O97" s="681"/>
      <c r="P97" s="682"/>
      <c r="Q97" s="685"/>
      <c r="R97" s="228"/>
      <c r="S97" s="228"/>
      <c r="T97" s="93"/>
      <c r="U97" s="93"/>
      <c r="V97" s="93"/>
      <c r="W97" s="93"/>
      <c r="X97" s="93"/>
    </row>
    <row r="98" spans="2:24" s="86" customFormat="1" ht="24.75" customHeight="1" thickBot="1">
      <c r="B98" s="104"/>
      <c r="C98" s="1070" t="str">
        <f>IF($E$6="","Ohne Förderung","Mit Förderung")</f>
        <v>Ohne Förderung</v>
      </c>
      <c r="D98" s="1069" t="str">
        <f>IF($E$6=0," ",$H$10/100)</f>
        <v> </v>
      </c>
      <c r="E98" s="106"/>
      <c r="F98" s="261" t="s">
        <v>81</v>
      </c>
      <c r="G98" s="262" t="s">
        <v>82</v>
      </c>
      <c r="H98" s="263" t="s">
        <v>83</v>
      </c>
      <c r="I98" s="54"/>
      <c r="J98" s="107"/>
      <c r="K98" s="102"/>
      <c r="L98" s="102"/>
      <c r="M98" s="18"/>
      <c r="N98" s="681"/>
      <c r="O98" s="681"/>
      <c r="P98" s="683"/>
      <c r="Q98" s="685"/>
      <c r="R98" s="2"/>
      <c r="S98" s="2"/>
      <c r="T98" s="93"/>
      <c r="U98" s="93"/>
      <c r="V98" s="93"/>
      <c r="W98" s="93"/>
      <c r="X98" s="93"/>
    </row>
    <row r="99" spans="2:24" s="86" customFormat="1" ht="24.75" customHeight="1">
      <c r="B99" s="249" t="s">
        <v>95</v>
      </c>
      <c r="C99" s="372"/>
      <c r="D99" s="112"/>
      <c r="E99" s="113" t="s">
        <v>84</v>
      </c>
      <c r="F99" s="114">
        <v>1.9</v>
      </c>
      <c r="G99" s="114">
        <v>1.8</v>
      </c>
      <c r="H99" s="1331">
        <v>1.7</v>
      </c>
      <c r="I99" s="1332"/>
      <c r="J99" s="107"/>
      <c r="K99" s="102"/>
      <c r="L99" s="102"/>
      <c r="M99" s="15"/>
      <c r="N99" s="1"/>
      <c r="O99" s="1"/>
      <c r="P99" s="1"/>
      <c r="Q99" s="1"/>
      <c r="R99" s="1"/>
      <c r="S99" s="1"/>
      <c r="T99" s="93"/>
      <c r="U99" s="93"/>
      <c r="V99" s="93"/>
      <c r="W99" s="93"/>
      <c r="X99" s="93"/>
    </row>
    <row r="100" spans="2:24" s="86" customFormat="1" ht="24.75" customHeight="1" thickBot="1">
      <c r="B100" s="250" t="s">
        <v>85</v>
      </c>
      <c r="C100" s="373"/>
      <c r="D100" s="105"/>
      <c r="E100" s="106" t="s">
        <v>5</v>
      </c>
      <c r="F100" s="60">
        <v>5</v>
      </c>
      <c r="G100" s="60">
        <v>3</v>
      </c>
      <c r="H100" s="1333">
        <v>2</v>
      </c>
      <c r="I100" s="1334"/>
      <c r="J100" s="107"/>
      <c r="K100" s="102"/>
      <c r="L100" s="102"/>
      <c r="M100" s="15"/>
      <c r="N100" s="1"/>
      <c r="O100" s="1"/>
      <c r="P100" s="1"/>
      <c r="Q100" s="1"/>
      <c r="R100" s="1"/>
      <c r="S100" s="1"/>
      <c r="T100" s="93"/>
      <c r="U100" s="93"/>
      <c r="V100" s="93"/>
      <c r="W100" s="93"/>
      <c r="X100" s="93"/>
    </row>
    <row r="101" spans="2:24" s="86" customFormat="1" ht="24.75" customHeight="1">
      <c r="B101" s="115" t="s">
        <v>273</v>
      </c>
      <c r="C101" s="374"/>
      <c r="D101" s="116"/>
      <c r="E101" s="117" t="s">
        <v>117</v>
      </c>
      <c r="F101" s="256">
        <f>($D$77+($D$78-$D$79)*$D$80+$D$81)*$J$72</f>
        <v>75.276</v>
      </c>
      <c r="G101" s="256">
        <f>($D$77+($D$78-$D$79)*$D$80+$D$81)*$J$72</f>
        <v>75.276</v>
      </c>
      <c r="H101" s="257">
        <f>($D$77+($D$78-$D$79)*$D$80+$D$81)*$J$72</f>
        <v>75.276</v>
      </c>
      <c r="I101" s="144"/>
      <c r="J101" s="91"/>
      <c r="K101" s="91"/>
      <c r="L101" s="92"/>
      <c r="M101" s="16"/>
      <c r="N101" s="299"/>
      <c r="O101" s="299"/>
      <c r="P101" s="697"/>
      <c r="Q101" s="697"/>
      <c r="R101" s="697"/>
      <c r="S101" s="697"/>
      <c r="T101" s="93"/>
      <c r="U101" s="93"/>
      <c r="V101" s="93"/>
      <c r="W101" s="93"/>
      <c r="X101" s="93"/>
    </row>
    <row r="102" spans="2:24" s="86" customFormat="1" ht="24.75" customHeight="1">
      <c r="B102" s="115" t="s">
        <v>31</v>
      </c>
      <c r="C102" s="374"/>
      <c r="D102" s="116"/>
      <c r="E102" s="117" t="s">
        <v>117</v>
      </c>
      <c r="F102" s="254">
        <f>IF(I69="",H80*H81,H80*H81*(1+D10))</f>
        <v>0.8330000000000001</v>
      </c>
      <c r="G102" s="254">
        <f>$F$102</f>
        <v>0.8330000000000001</v>
      </c>
      <c r="H102" s="255">
        <f>G102</f>
        <v>0.8330000000000001</v>
      </c>
      <c r="I102" s="122"/>
      <c r="J102" s="91"/>
      <c r="K102" s="91"/>
      <c r="L102" s="92"/>
      <c r="M102" s="16"/>
      <c r="N102" s="299"/>
      <c r="O102" s="299"/>
      <c r="P102" s="696"/>
      <c r="Q102" s="696"/>
      <c r="R102" s="698"/>
      <c r="S102" s="698"/>
      <c r="T102" s="93"/>
      <c r="U102" s="93"/>
      <c r="V102" s="93"/>
      <c r="W102" s="93"/>
      <c r="X102" s="93"/>
    </row>
    <row r="103" spans="2:24" s="86" customFormat="1" ht="24.75" customHeight="1">
      <c r="B103" s="108" t="s">
        <v>86</v>
      </c>
      <c r="C103" s="375"/>
      <c r="D103" s="118"/>
      <c r="E103" s="109" t="s">
        <v>117</v>
      </c>
      <c r="F103" s="258">
        <f>SUM(F101:F102)</f>
        <v>76.109</v>
      </c>
      <c r="G103" s="258">
        <f>SUM(G101:G102)</f>
        <v>76.109</v>
      </c>
      <c r="H103" s="259">
        <f>SUM(H101:H102)</f>
        <v>76.109</v>
      </c>
      <c r="I103" s="230"/>
      <c r="J103" s="91"/>
      <c r="K103" s="91"/>
      <c r="L103" s="92"/>
      <c r="M103" s="16"/>
      <c r="N103" s="299"/>
      <c r="O103" s="299"/>
      <c r="P103" s="696"/>
      <c r="Q103" s="696"/>
      <c r="R103" s="698"/>
      <c r="S103" s="698"/>
      <c r="T103" s="93"/>
      <c r="U103" s="93"/>
      <c r="V103" s="93"/>
      <c r="W103" s="93"/>
      <c r="X103" s="93"/>
    </row>
    <row r="104" spans="2:19" s="86" customFormat="1" ht="24.75" customHeight="1">
      <c r="B104" s="115" t="s">
        <v>87</v>
      </c>
      <c r="C104" s="374"/>
      <c r="D104" s="116"/>
      <c r="E104" s="117" t="s">
        <v>10</v>
      </c>
      <c r="F104" s="119">
        <f>$D$78-$D$84</f>
        <v>24.5</v>
      </c>
      <c r="G104" s="119">
        <f>$D$78-$D$84</f>
        <v>24.5</v>
      </c>
      <c r="H104" s="120">
        <f>$D$78-$D$84</f>
        <v>24.5</v>
      </c>
      <c r="I104" s="121"/>
      <c r="J104" s="85"/>
      <c r="K104" s="85"/>
      <c r="M104" s="16"/>
      <c r="N104" s="299"/>
      <c r="O104" s="299"/>
      <c r="P104" s="696"/>
      <c r="Q104" s="696"/>
      <c r="R104" s="698"/>
      <c r="S104" s="698"/>
    </row>
    <row r="105" spans="2:19" s="86" customFormat="1" ht="24.75" customHeight="1">
      <c r="B105" s="285" t="s">
        <v>55</v>
      </c>
      <c r="C105" s="376"/>
      <c r="D105" s="286"/>
      <c r="E105" s="287" t="s">
        <v>10</v>
      </c>
      <c r="F105" s="387">
        <f>F99*F104</f>
        <v>46.55</v>
      </c>
      <c r="G105" s="387">
        <f>G99*G104</f>
        <v>44.1</v>
      </c>
      <c r="H105" s="1327">
        <f>H99*H104</f>
        <v>41.65</v>
      </c>
      <c r="I105" s="1328"/>
      <c r="J105" s="85"/>
      <c r="K105" s="85"/>
      <c r="M105" s="16"/>
      <c r="N105" s="299"/>
      <c r="O105" s="299"/>
      <c r="P105" s="696"/>
      <c r="Q105" s="696"/>
      <c r="R105" s="698"/>
      <c r="S105" s="698"/>
    </row>
    <row r="106" spans="2:19" s="86" customFormat="1" ht="24.75" customHeight="1">
      <c r="B106" s="115" t="s">
        <v>274</v>
      </c>
      <c r="C106" s="374"/>
      <c r="D106" s="116"/>
      <c r="E106" s="117" t="s">
        <v>117</v>
      </c>
      <c r="F106" s="254">
        <f>($D$83+($D$84-$D$85)*$D$86+$D$87+$D$88)*$J$73</f>
        <v>45.7104</v>
      </c>
      <c r="G106" s="254">
        <f>($D$83+($D$84-$D$85)*$D$86+$D$87+$D$88)*$J$73</f>
        <v>45.7104</v>
      </c>
      <c r="H106" s="255">
        <f>($D$83+($D$84-$D$85)*$D$86+$D$87+$D$88)*$J$73</f>
        <v>45.7104</v>
      </c>
      <c r="I106" s="388"/>
      <c r="J106" s="85"/>
      <c r="K106" s="85"/>
      <c r="M106" s="16"/>
      <c r="N106" s="299"/>
      <c r="O106" s="299"/>
      <c r="P106" s="696"/>
      <c r="Q106" s="696"/>
      <c r="R106" s="698"/>
      <c r="S106" s="698"/>
    </row>
    <row r="107" spans="2:19" s="86" customFormat="1" ht="24.75" customHeight="1">
      <c r="B107" s="115" t="s">
        <v>98</v>
      </c>
      <c r="C107" s="374"/>
      <c r="D107" s="116"/>
      <c r="E107" s="117" t="s">
        <v>117</v>
      </c>
      <c r="F107" s="254">
        <f>($H$77*$D$89+$D$90*$H$78+(F105-$D$89-$D$90)*$H$79)/100*$J$73</f>
        <v>20.76763</v>
      </c>
      <c r="G107" s="254">
        <f>($H$77*$D$89+$D$90*$H$78+(G105-$D$89-$D$90)*$H$79)/100*$J$73</f>
        <v>19.771459999999998</v>
      </c>
      <c r="H107" s="1329">
        <f>($H$77*$D$89+$D$90*$H$78+(H105-$D$89-$D$90)*$H$79)/100*$J$73</f>
        <v>18.775290000000002</v>
      </c>
      <c r="I107" s="1330"/>
      <c r="J107" s="85"/>
      <c r="K107" s="85"/>
      <c r="M107" s="691"/>
      <c r="N107" s="276"/>
      <c r="O107" s="276"/>
      <c r="P107" s="690"/>
      <c r="Q107" s="690"/>
      <c r="R107" s="698"/>
      <c r="S107" s="698"/>
    </row>
    <row r="108" spans="2:19" s="86" customFormat="1" ht="24.75" customHeight="1">
      <c r="B108" s="115" t="s">
        <v>85</v>
      </c>
      <c r="C108" s="374"/>
      <c r="D108" s="116"/>
      <c r="E108" s="117" t="s">
        <v>117</v>
      </c>
      <c r="F108" s="254">
        <f>($G$106+0.5*F107)*F100/100</f>
        <v>2.80471075</v>
      </c>
      <c r="G108" s="254">
        <f>($G$106+0.5*G107)*G100/100</f>
        <v>1.6678838999999999</v>
      </c>
      <c r="H108" s="255">
        <f>($G$106+0.5*H107)*H100/100</f>
        <v>1.1019609</v>
      </c>
      <c r="I108" s="389"/>
      <c r="J108" s="85"/>
      <c r="K108" s="85"/>
      <c r="M108" s="14"/>
      <c r="N108"/>
      <c r="O108"/>
      <c r="P108"/>
      <c r="Q108"/>
      <c r="R108"/>
      <c r="S108"/>
    </row>
    <row r="109" spans="2:11" s="86" customFormat="1" ht="24.75" customHeight="1">
      <c r="B109" s="115" t="s">
        <v>88</v>
      </c>
      <c r="C109" s="374"/>
      <c r="D109" s="116"/>
      <c r="E109" s="117" t="s">
        <v>117</v>
      </c>
      <c r="F109" s="254">
        <f>$H$82</f>
        <v>3.8467209285714286</v>
      </c>
      <c r="G109" s="254">
        <f>$H$82</f>
        <v>3.8467209285714286</v>
      </c>
      <c r="H109" s="255">
        <f>$H$82</f>
        <v>3.8467209285714286</v>
      </c>
      <c r="I109" s="388"/>
      <c r="J109" s="85"/>
      <c r="K109" s="85"/>
    </row>
    <row r="110" spans="2:11" s="86" customFormat="1" ht="24.75" customHeight="1">
      <c r="B110" s="108" t="s">
        <v>35</v>
      </c>
      <c r="C110" s="375"/>
      <c r="D110" s="109"/>
      <c r="E110" s="319" t="s">
        <v>117</v>
      </c>
      <c r="F110" s="258">
        <f>SUM(F106:F109)</f>
        <v>73.12946167857143</v>
      </c>
      <c r="G110" s="258">
        <f>SUM(G106:G109)</f>
        <v>70.99646482857143</v>
      </c>
      <c r="H110" s="259">
        <f>SUM(H106:H109)</f>
        <v>69.43437182857143</v>
      </c>
      <c r="I110" s="390"/>
      <c r="J110" s="85"/>
      <c r="K110" s="85"/>
    </row>
    <row r="111" spans="2:11" s="86" customFormat="1" ht="24.75" customHeight="1">
      <c r="B111" s="288" t="s">
        <v>91</v>
      </c>
      <c r="C111" s="377"/>
      <c r="D111" s="266" t="s">
        <v>124</v>
      </c>
      <c r="E111" s="267" t="s">
        <v>117</v>
      </c>
      <c r="F111" s="892">
        <f>F103-F110</f>
        <v>2.9795383214285636</v>
      </c>
      <c r="G111" s="892">
        <f>G103-G110</f>
        <v>5.112535171428561</v>
      </c>
      <c r="H111" s="893">
        <f>H103-H110</f>
        <v>6.674628171428566</v>
      </c>
      <c r="I111" s="289"/>
      <c r="J111" s="85"/>
      <c r="K111" s="85"/>
    </row>
    <row r="112" spans="2:11" s="86" customFormat="1" ht="31.5" customHeight="1">
      <c r="B112" s="308"/>
      <c r="C112" s="378"/>
      <c r="D112" s="295" t="s">
        <v>125</v>
      </c>
      <c r="E112" s="296" t="s">
        <v>117</v>
      </c>
      <c r="F112" s="896">
        <f>F111*$H$92</f>
        <v>16.685414599999955</v>
      </c>
      <c r="G112" s="896">
        <f>G111*$H$92</f>
        <v>28.630196959999942</v>
      </c>
      <c r="H112" s="897">
        <f>H111*$H$92</f>
        <v>37.37791775999997</v>
      </c>
      <c r="I112" s="309"/>
      <c r="J112" s="101"/>
      <c r="K112" s="85"/>
    </row>
    <row r="113" spans="2:11" s="310" customFormat="1" ht="31.5" customHeight="1" thickBot="1">
      <c r="B113" s="313" t="s">
        <v>148</v>
      </c>
      <c r="C113" s="379"/>
      <c r="D113" s="314"/>
      <c r="E113" s="315" t="s">
        <v>5</v>
      </c>
      <c r="F113" s="316">
        <f>F112/(F114+F115+F118)</f>
        <v>0.3680267901847247</v>
      </c>
      <c r="G113" s="316">
        <f>G112/(G114+G115+G118)</f>
        <v>0.6314904209539551</v>
      </c>
      <c r="H113" s="317">
        <f>H112/(H114+H115+H118)</f>
        <v>0.8244371162944575</v>
      </c>
      <c r="I113" s="318"/>
      <c r="J113" s="311"/>
      <c r="K113" s="312"/>
    </row>
    <row r="114" spans="2:11" s="86" customFormat="1" ht="24.75" customHeight="1">
      <c r="B114" s="115" t="s">
        <v>287</v>
      </c>
      <c r="C114" s="996">
        <f>D92</f>
        <v>416.5</v>
      </c>
      <c r="D114" s="997">
        <f>100/D93+D94+H72/2</f>
        <v>7.5</v>
      </c>
      <c r="E114" s="117" t="s">
        <v>117</v>
      </c>
      <c r="F114" s="139">
        <f>G114</f>
        <v>31.2375</v>
      </c>
      <c r="G114" s="139">
        <f>(D92/D93+(H72/2+D94)%*D92)</f>
        <v>31.2375</v>
      </c>
      <c r="H114" s="143">
        <f>G114</f>
        <v>31.2375</v>
      </c>
      <c r="I114" s="144"/>
      <c r="J114" s="101"/>
      <c r="K114" s="85"/>
    </row>
    <row r="115" spans="2:11" s="86" customFormat="1" ht="24.75" customHeight="1">
      <c r="B115" s="123" t="s">
        <v>89</v>
      </c>
      <c r="C115" s="380"/>
      <c r="D115" s="111"/>
      <c r="E115" s="67" t="s">
        <v>117</v>
      </c>
      <c r="F115" s="234">
        <f>G115</f>
        <v>1.5</v>
      </c>
      <c r="G115" s="234">
        <f>H91</f>
        <v>1.5</v>
      </c>
      <c r="H115" s="235">
        <f>G115</f>
        <v>1.5</v>
      </c>
      <c r="I115" s="231"/>
      <c r="J115" s="101"/>
      <c r="K115" s="85"/>
    </row>
    <row r="116" spans="2:11" s="86" customFormat="1" ht="30" customHeight="1">
      <c r="B116" s="220" t="s">
        <v>39</v>
      </c>
      <c r="C116" s="381"/>
      <c r="D116" s="210" t="s">
        <v>125</v>
      </c>
      <c r="E116" s="211" t="s">
        <v>117</v>
      </c>
      <c r="F116" s="1214">
        <f>F112-F114-F115</f>
        <v>-16.052085400000045</v>
      </c>
      <c r="G116" s="1214">
        <f>G112-G114-G115</f>
        <v>-4.107303040000058</v>
      </c>
      <c r="H116" s="1215">
        <f>H112-H114-H115</f>
        <v>4.640417759999966</v>
      </c>
      <c r="I116" s="1216"/>
      <c r="J116" s="85"/>
      <c r="K116" s="85"/>
    </row>
    <row r="117" spans="2:11" s="86" customFormat="1" ht="30" customHeight="1">
      <c r="B117" s="212"/>
      <c r="C117" s="382"/>
      <c r="D117" s="292" t="s">
        <v>139</v>
      </c>
      <c r="E117" s="293" t="s">
        <v>117</v>
      </c>
      <c r="F117" s="894">
        <f>F116/$H$93</f>
        <v>-20.065106750000055</v>
      </c>
      <c r="G117" s="894">
        <f>G116/$H$93</f>
        <v>-5.134128800000073</v>
      </c>
      <c r="H117" s="895">
        <f>H116/$H$93</f>
        <v>5.800522199999958</v>
      </c>
      <c r="I117" s="248"/>
      <c r="J117" s="85"/>
      <c r="K117" s="85"/>
    </row>
    <row r="118" spans="2:11" s="86" customFormat="1" ht="30.75" customHeight="1">
      <c r="B118" s="1000" t="s">
        <v>90</v>
      </c>
      <c r="C118" s="999">
        <f>H93</f>
        <v>0.8</v>
      </c>
      <c r="D118" s="998">
        <f>H73</f>
        <v>15.75</v>
      </c>
      <c r="E118" s="117" t="s">
        <v>117</v>
      </c>
      <c r="F118" s="124">
        <f>G118</f>
        <v>12.600000000000001</v>
      </c>
      <c r="G118" s="124">
        <f>$H$93*$H$11</f>
        <v>12.600000000000001</v>
      </c>
      <c r="H118" s="232">
        <f>G118</f>
        <v>12.600000000000001</v>
      </c>
      <c r="I118" s="233"/>
      <c r="J118" s="85"/>
      <c r="K118" s="85"/>
    </row>
    <row r="119" spans="2:11" s="86" customFormat="1" ht="33.75" customHeight="1">
      <c r="B119" s="265" t="s">
        <v>93</v>
      </c>
      <c r="C119" s="383"/>
      <c r="D119" s="266"/>
      <c r="E119" s="267" t="s">
        <v>117</v>
      </c>
      <c r="F119" s="892">
        <f>F116-F118</f>
        <v>-28.652085400000047</v>
      </c>
      <c r="G119" s="892">
        <f>G116-G118</f>
        <v>-16.70730304000006</v>
      </c>
      <c r="H119" s="1356">
        <f>H116-H118</f>
        <v>-7.959582240000035</v>
      </c>
      <c r="I119" s="1357"/>
      <c r="J119" s="85"/>
      <c r="K119" s="85"/>
    </row>
    <row r="120" spans="2:11" s="86" customFormat="1" ht="34.5" customHeight="1" thickBot="1">
      <c r="B120" s="294" t="s">
        <v>130</v>
      </c>
      <c r="C120" s="384"/>
      <c r="D120" s="295"/>
      <c r="E120" s="296" t="s">
        <v>5</v>
      </c>
      <c r="F120" s="297">
        <f>(F112-F115-F118-$D$92/$D$93-$D$92*$D$94%)/$D$92*2</f>
        <v>-0.10758504393757524</v>
      </c>
      <c r="G120" s="297">
        <f>(G112-G115-G118-$D$92/$D$93-$D$92*$D$94%)/$D$92*2</f>
        <v>-0.050227145450180345</v>
      </c>
      <c r="H120" s="1362">
        <f>(H112-H115-H118-$D$92/$D$93-$D$92*$D$94%)/$D$92*2</f>
        <v>-0.008221283265306285</v>
      </c>
      <c r="I120" s="1363"/>
      <c r="J120" s="85"/>
      <c r="K120" s="85"/>
    </row>
    <row r="121" spans="2:11" s="86" customFormat="1" ht="36" customHeight="1">
      <c r="B121" s="199" t="s">
        <v>232</v>
      </c>
      <c r="C121" s="198"/>
      <c r="D121" s="237"/>
      <c r="E121" s="238" t="s">
        <v>117</v>
      </c>
      <c r="F121" s="756">
        <f>F110-F102+(F114+F115+F118)/$H$92</f>
        <v>80.39244382142857</v>
      </c>
      <c r="G121" s="752">
        <f>G110-G102+(G114+G115+G118)/$H$92</f>
        <v>78.25944697142857</v>
      </c>
      <c r="H121" s="1360">
        <f>H110-H102+(H114+H115+H118)/$H$92</f>
        <v>76.69735397142857</v>
      </c>
      <c r="I121" s="1361"/>
      <c r="J121" s="85"/>
      <c r="K121" s="85"/>
    </row>
    <row r="122" spans="2:11" s="86" customFormat="1" ht="32.25" customHeight="1">
      <c r="B122" s="239" t="s">
        <v>109</v>
      </c>
      <c r="C122" s="163"/>
      <c r="D122" s="240"/>
      <c r="E122" s="241"/>
      <c r="F122" s="242"/>
      <c r="G122" s="243"/>
      <c r="H122" s="244"/>
      <c r="I122" s="245"/>
      <c r="J122" s="85"/>
      <c r="K122" s="85"/>
    </row>
    <row r="123" spans="2:11" s="86" customFormat="1" ht="23.25" customHeight="1" thickBot="1">
      <c r="B123" s="201" t="s">
        <v>110</v>
      </c>
      <c r="C123" s="202"/>
      <c r="D123" s="246"/>
      <c r="E123" s="247" t="s">
        <v>117</v>
      </c>
      <c r="F123" s="751">
        <f>F107+F108+F109-F102+(F114+F115+F118)/$H$92</f>
        <v>34.68204382142858</v>
      </c>
      <c r="G123" s="751">
        <f>G107+G108+G109-G102+(G114+G115+G118)/$H$92</f>
        <v>32.54904697142857</v>
      </c>
      <c r="H123" s="1358">
        <f>H107+H108+H109-H102+(H114+H115+H118)/$H$92</f>
        <v>30.986953971428573</v>
      </c>
      <c r="I123" s="1359"/>
      <c r="J123" s="85"/>
      <c r="K123" s="85"/>
    </row>
    <row r="124" spans="2:11" s="229" customFormat="1" ht="12.75" customHeight="1">
      <c r="B124" s="858"/>
      <c r="C124" s="858"/>
      <c r="D124" s="858"/>
      <c r="E124" s="858"/>
      <c r="F124" s="859"/>
      <c r="G124" s="859"/>
      <c r="H124" s="1354"/>
      <c r="I124" s="1354"/>
      <c r="J124" s="753"/>
      <c r="K124" s="753"/>
    </row>
    <row r="125" spans="2:11" s="229" customFormat="1" ht="18">
      <c r="B125" s="753"/>
      <c r="C125" s="753"/>
      <c r="D125" s="753"/>
      <c r="E125" s="753"/>
      <c r="F125" s="754"/>
      <c r="G125" s="754"/>
      <c r="H125" s="1355"/>
      <c r="I125" s="1355"/>
      <c r="J125" s="753"/>
      <c r="K125" s="753"/>
    </row>
    <row r="126" spans="2:11" s="229" customFormat="1" ht="18">
      <c r="B126" s="753"/>
      <c r="C126" s="753"/>
      <c r="D126" s="753"/>
      <c r="E126" s="753"/>
      <c r="F126" s="754"/>
      <c r="G126" s="754"/>
      <c r="H126" s="1355"/>
      <c r="I126" s="1355"/>
      <c r="J126" s="753"/>
      <c r="K126" s="753"/>
    </row>
    <row r="127" spans="2:11" s="229" customFormat="1" ht="18">
      <c r="B127" s="753"/>
      <c r="C127" s="753"/>
      <c r="D127" s="753"/>
      <c r="E127" s="753"/>
      <c r="F127" s="753"/>
      <c r="G127" s="753"/>
      <c r="H127" s="753"/>
      <c r="I127" s="753"/>
      <c r="J127" s="753"/>
      <c r="K127" s="753"/>
    </row>
    <row r="128" spans="2:11" s="229" customFormat="1" ht="18">
      <c r="B128" s="753"/>
      <c r="C128" s="753"/>
      <c r="D128" s="753"/>
      <c r="E128" s="753"/>
      <c r="F128" s="753"/>
      <c r="G128" s="753"/>
      <c r="H128" s="753"/>
      <c r="I128" s="753"/>
      <c r="J128" s="753"/>
      <c r="K128" s="753"/>
    </row>
    <row r="129" spans="2:11" s="229" customFormat="1" ht="18">
      <c r="B129" s="753"/>
      <c r="C129" s="753"/>
      <c r="D129" s="753"/>
      <c r="E129" s="753"/>
      <c r="F129" s="753"/>
      <c r="G129" s="753"/>
      <c r="H129" s="753"/>
      <c r="I129" s="753"/>
      <c r="J129" s="753"/>
      <c r="K129" s="753"/>
    </row>
    <row r="139" ht="15.75" customHeight="1"/>
    <row r="177" ht="13.5" customHeight="1"/>
    <row r="218" ht="48" customHeight="1"/>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sheetData>
  <sheetProtection sheet="1"/>
  <mergeCells count="24">
    <mergeCell ref="F78:G78"/>
    <mergeCell ref="F79:G79"/>
    <mergeCell ref="H124:I124"/>
    <mergeCell ref="H125:I125"/>
    <mergeCell ref="H119:I119"/>
    <mergeCell ref="H126:I126"/>
    <mergeCell ref="H123:I123"/>
    <mergeCell ref="H121:I121"/>
    <mergeCell ref="H120:I120"/>
    <mergeCell ref="B2:G2"/>
    <mergeCell ref="B65:G65"/>
    <mergeCell ref="H2:I2"/>
    <mergeCell ref="H65:I65"/>
    <mergeCell ref="H57:I57"/>
    <mergeCell ref="H50:I50"/>
    <mergeCell ref="H53:I53"/>
    <mergeCell ref="M4:N4"/>
    <mergeCell ref="H105:I105"/>
    <mergeCell ref="H107:I107"/>
    <mergeCell ref="H99:I99"/>
    <mergeCell ref="H100:I100"/>
    <mergeCell ref="H35:I35"/>
    <mergeCell ref="H4:I4"/>
    <mergeCell ref="H67:I67"/>
  </mergeCells>
  <printOptions horizontalCentered="1" verticalCentered="1"/>
  <pageMargins left="0.43" right="0.3937007874015748" top="0.37" bottom="0.3937007874015748" header="0.45" footer="0.15748031496062992"/>
  <pageSetup horizontalDpi="600" verticalDpi="600" orientation="portrait" paperSize="9" scale="50" r:id="rId4"/>
  <headerFooter alignWithMargins="0">
    <oddFooter>&amp;LLEL, Abt.2, V. Segger&amp;C&amp;F&amp;A&amp;R&amp;D</oddFooter>
  </headerFooter>
  <rowBreaks count="2" manualBreakCount="2">
    <brk id="63" max="255" man="1"/>
    <brk id="123" max="255" man="1"/>
  </rowBreaks>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M25"/>
  <sheetViews>
    <sheetView zoomScale="81" zoomScaleNormal="81" zoomScalePageLayoutView="0" workbookViewId="0" topLeftCell="A1">
      <selection activeCell="L15" sqref="L15"/>
    </sheetView>
  </sheetViews>
  <sheetFormatPr defaultColWidth="11.421875" defaultRowHeight="12.75"/>
  <cols>
    <col min="1" max="1" width="1.421875" style="0" customWidth="1"/>
    <col min="2" max="2" width="2.28125" style="0" customWidth="1"/>
    <col min="3" max="3" width="3.7109375" style="0" customWidth="1"/>
    <col min="4" max="4" width="51.28125" style="0" customWidth="1"/>
    <col min="5" max="5" width="10.140625" style="0" customWidth="1"/>
    <col min="6" max="6" width="14.28125" style="0" customWidth="1"/>
    <col min="7" max="7" width="18.57421875" style="0" customWidth="1"/>
    <col min="8" max="8" width="29.140625" style="0" customWidth="1"/>
    <col min="9" max="9" width="27.28125" style="0" customWidth="1"/>
    <col min="10" max="10" width="16.00390625" style="0" customWidth="1"/>
  </cols>
  <sheetData>
    <row r="1" ht="10.5" customHeight="1" thickBot="1"/>
    <row r="2" spans="2:9" s="988" customFormat="1" ht="30.75" customHeight="1">
      <c r="B2" s="984" t="s">
        <v>150</v>
      </c>
      <c r="C2" s="985"/>
      <c r="D2" s="985"/>
      <c r="E2" s="985"/>
      <c r="F2" s="986"/>
      <c r="G2" s="986"/>
      <c r="H2" s="986"/>
      <c r="I2" s="987"/>
    </row>
    <row r="3" spans="2:9" s="988" customFormat="1" ht="30.75" customHeight="1" thickBot="1">
      <c r="B3" s="193" t="s">
        <v>107</v>
      </c>
      <c r="C3" s="334"/>
      <c r="D3" s="334"/>
      <c r="E3" s="334"/>
      <c r="F3" s="334"/>
      <c r="G3" s="334"/>
      <c r="H3" s="334"/>
      <c r="I3" s="989"/>
    </row>
    <row r="4" spans="2:9" ht="9" customHeight="1" thickBot="1">
      <c r="B4" s="79"/>
      <c r="C4" s="79"/>
      <c r="D4" s="79"/>
      <c r="E4" s="79"/>
      <c r="F4" s="79"/>
      <c r="G4" s="79"/>
      <c r="H4" s="80"/>
      <c r="I4" s="80"/>
    </row>
    <row r="5" spans="2:9" ht="24" customHeight="1" thickBot="1">
      <c r="B5" s="594" t="str">
        <f>'2  ZS-Babyf.-Aufz.'!B14</f>
        <v>Ferkelbasispreis 25 kg, 200 er Gruppe (o. Mwst)</v>
      </c>
      <c r="C5" s="594"/>
      <c r="D5" s="594"/>
      <c r="E5" s="594"/>
      <c r="F5" s="595">
        <f>' 1 ZS-Aufzf..-Mast'!D14</f>
        <v>54</v>
      </c>
      <c r="G5" s="224"/>
      <c r="H5" s="596" t="str">
        <f>' 1 ZS-Aufzf..-Mast'!B81</f>
        <v>Basispreis / kg SG, o. Mwst.</v>
      </c>
      <c r="I5" s="597">
        <f>' 1 ZS-Aufzf..-Mast'!D81</f>
        <v>1.75</v>
      </c>
    </row>
    <row r="6" spans="2:9" ht="9" customHeight="1" thickBot="1">
      <c r="B6" s="224"/>
      <c r="C6" s="224"/>
      <c r="D6" s="224"/>
      <c r="E6" s="224"/>
      <c r="F6" s="224"/>
      <c r="G6" s="224"/>
      <c r="H6" s="598"/>
      <c r="I6" s="224"/>
    </row>
    <row r="7" spans="2:9" ht="43.5" customHeight="1" thickBot="1">
      <c r="B7" s="1129"/>
      <c r="C7" s="1370" t="str">
        <f>' 1 ZS-Aufzf..-Mast'!F4</f>
        <v>Anfang Oktober 2016</v>
      </c>
      <c r="D7" s="1370"/>
      <c r="E7" s="1368">
        <f>' 1 ZS-Aufzf..-Mast'!H4</f>
        <v>42647</v>
      </c>
      <c r="F7" s="1369"/>
      <c r="G7" s="1078"/>
      <c r="H7" s="1079" t="str">
        <f>' 1 ZS-Aufzf..-Mast'!B13</f>
        <v>Zuchtsau mit Aufzuchtferkeln </v>
      </c>
      <c r="I7" s="1080" t="str">
        <f>' 1 ZS-Aufzf..-Mast'!B78</f>
        <v>Schweinemast </v>
      </c>
    </row>
    <row r="8" spans="2:9" ht="27" customHeight="1">
      <c r="B8" s="1130"/>
      <c r="C8" s="1081"/>
      <c r="D8" s="1081"/>
      <c r="E8" s="1081"/>
      <c r="F8" s="1081"/>
      <c r="G8" s="1082"/>
      <c r="H8" s="1364" t="str">
        <f>IF(' 1 ZS-Aufzf..-Mast'!$E$7="","mit Investitionsförderung","ohne Investitionsförderung")</f>
        <v>ohne Investitionsförderung</v>
      </c>
      <c r="I8" s="1365"/>
    </row>
    <row r="9" spans="2:9" ht="27" customHeight="1" thickBot="1">
      <c r="B9" s="1131"/>
      <c r="C9" s="1083"/>
      <c r="D9" s="1083"/>
      <c r="E9" s="1083"/>
      <c r="F9" s="1083"/>
      <c r="G9" s="1084"/>
      <c r="H9" s="1366" t="str">
        <f>IF(' 1 ZS-Aufzf..-Mast'!$I$7="","Pauschalierung der Mwst","Regelbesteuerung bzw. Opton")</f>
        <v>Pauschalierung der Mwst</v>
      </c>
      <c r="I9" s="1367"/>
    </row>
    <row r="10" spans="2:9" ht="26.25" customHeight="1">
      <c r="B10" s="1132" t="s">
        <v>129</v>
      </c>
      <c r="C10" s="1085"/>
      <c r="D10" s="1085"/>
      <c r="E10" s="1085"/>
      <c r="F10" s="1085"/>
      <c r="G10" s="1086" t="s">
        <v>126</v>
      </c>
      <c r="H10" s="1087">
        <f>' 1 ZS-Aufzf..-Mast'!G37</f>
        <v>25</v>
      </c>
      <c r="I10" s="1127"/>
    </row>
    <row r="11" spans="2:9" ht="26.25" customHeight="1">
      <c r="B11" s="1133" t="s">
        <v>146</v>
      </c>
      <c r="C11" s="1088"/>
      <c r="D11" s="1088"/>
      <c r="E11" s="1088"/>
      <c r="F11" s="1088"/>
      <c r="G11" s="1089" t="s">
        <v>117</v>
      </c>
      <c r="H11" s="1128"/>
      <c r="I11" s="1090">
        <f>' 1 ZS-Aufzf..-Mast'!G98</f>
        <v>-4</v>
      </c>
    </row>
    <row r="12" spans="2:9" ht="26.25" customHeight="1">
      <c r="B12" s="1131" t="s">
        <v>128</v>
      </c>
      <c r="C12" s="1083"/>
      <c r="D12" s="1083"/>
      <c r="E12" s="1083"/>
      <c r="F12" s="1083"/>
      <c r="G12" s="1091" t="s">
        <v>127</v>
      </c>
      <c r="H12" s="1092">
        <f>' 1 ZS-Aufzf..-Mast'!D18+' 1 ZS-Aufzf..-Mast'!D19</f>
        <v>5.5</v>
      </c>
      <c r="I12" s="1093">
        <f>(' 1 ZS-Aufzf..-Mast'!H81+' 1 ZS-Aufzf..-Mast'!H82)</f>
        <v>8</v>
      </c>
    </row>
    <row r="13" spans="2:13" ht="26.25" customHeight="1">
      <c r="B13" s="1131" t="s">
        <v>256</v>
      </c>
      <c r="C13" s="1083"/>
      <c r="D13" s="1094"/>
      <c r="E13" s="1094"/>
      <c r="F13" s="1083"/>
      <c r="G13" s="1091" t="s">
        <v>117</v>
      </c>
      <c r="H13" s="1095">
        <f>' 1 ZS-Aufzf..-Mast'!D30+' 1 ZS-Aufzf..-Mast'!D32*' 1 ZS-Aufzf..-Mast'!G54</f>
        <v>6024.375</v>
      </c>
      <c r="I13" s="1096">
        <f>' 1 ZS-Aufzf..-Mast'!D92</f>
        <v>714</v>
      </c>
      <c r="M13" s="86"/>
    </row>
    <row r="14" spans="2:9" ht="26.25" customHeight="1">
      <c r="B14" s="1134" t="s">
        <v>147</v>
      </c>
      <c r="C14" s="1097"/>
      <c r="D14" s="1097"/>
      <c r="E14" s="1097"/>
      <c r="F14" s="1097"/>
      <c r="G14" s="1098" t="s">
        <v>29</v>
      </c>
      <c r="H14" s="1099">
        <f>' 1 ZS-Aufzf..-Mast'!H32</f>
        <v>15</v>
      </c>
      <c r="I14" s="1100">
        <f>' 1 ZS-Aufzf..-Mast'!H94</f>
        <v>1.2</v>
      </c>
    </row>
    <row r="15" spans="2:9" ht="26.25" customHeight="1">
      <c r="B15" s="1135" t="s">
        <v>91</v>
      </c>
      <c r="C15" s="1101"/>
      <c r="D15" s="1101"/>
      <c r="E15" s="1101"/>
      <c r="F15" s="1101" t="s">
        <v>124</v>
      </c>
      <c r="G15" s="1102" t="s">
        <v>117</v>
      </c>
      <c r="H15" s="1103">
        <f>' 1 ZS-Aufzf..-Mast'!G52</f>
        <v>665.396344</v>
      </c>
      <c r="I15" s="1104">
        <f>' 1 ZS-Aufzf..-Mast'!G111</f>
        <v>33.215926254127396</v>
      </c>
    </row>
    <row r="16" spans="2:9" ht="26.25" customHeight="1">
      <c r="B16" s="1135"/>
      <c r="C16" s="1101"/>
      <c r="D16" s="1101"/>
      <c r="E16" s="1101"/>
      <c r="F16" s="1101" t="s">
        <v>125</v>
      </c>
      <c r="G16" s="1102" t="s">
        <v>117</v>
      </c>
      <c r="H16" s="1103">
        <f>H15</f>
        <v>665.396344</v>
      </c>
      <c r="I16" s="1104">
        <f>' 1 ZS-Aufzf..-Mast'!G112</f>
        <v>93.01857237336648</v>
      </c>
    </row>
    <row r="17" spans="2:9" ht="26.25" customHeight="1">
      <c r="B17" s="1134" t="s">
        <v>149</v>
      </c>
      <c r="C17" s="1097"/>
      <c r="D17" s="1097"/>
      <c r="E17" s="1097"/>
      <c r="F17" s="1097"/>
      <c r="G17" s="1098" t="s">
        <v>5</v>
      </c>
      <c r="H17" s="1105">
        <f>' 1 ZS-Aufzf..-Mast'!G53</f>
        <v>0.939721650065097</v>
      </c>
      <c r="I17" s="1106">
        <f>' 1 ZS-Aufzf..-Mast'!G113</f>
        <v>1.2494099714354128</v>
      </c>
    </row>
    <row r="18" spans="2:9" ht="26.25" customHeight="1">
      <c r="B18" s="1131" t="s">
        <v>92</v>
      </c>
      <c r="C18" s="1083"/>
      <c r="D18" s="1083"/>
      <c r="E18" s="1083"/>
      <c r="F18" s="1083"/>
      <c r="G18" s="1091" t="s">
        <v>117</v>
      </c>
      <c r="H18" s="1107">
        <f>' 1 ZS-Aufzf..-Mast'!G58</f>
        <v>12.904547933333333</v>
      </c>
      <c r="I18" s="1108">
        <f>' 1 ZS-Aufzf..-Mast'!G117</f>
        <v>31.22381031113873</v>
      </c>
    </row>
    <row r="19" spans="2:9" ht="26.25" customHeight="1">
      <c r="B19" s="1134" t="s">
        <v>131</v>
      </c>
      <c r="C19" s="1097"/>
      <c r="D19" s="1097"/>
      <c r="E19" s="1097"/>
      <c r="F19" s="1097"/>
      <c r="G19" s="1098" t="s">
        <v>5</v>
      </c>
      <c r="H19" s="1109">
        <f>' 1 ZS-Aufzf..-Mast'!G61</f>
        <v>0.01583030405643739</v>
      </c>
      <c r="I19" s="1110">
        <f>' 1 ZS-Aufzf..-Mast'!G120</f>
        <v>0.08201280776853354</v>
      </c>
    </row>
    <row r="20" spans="2:9" ht="26.25" customHeight="1">
      <c r="B20" s="1135" t="s">
        <v>157</v>
      </c>
      <c r="C20" s="1083"/>
      <c r="D20" s="1083"/>
      <c r="E20" s="1083"/>
      <c r="F20" s="1083"/>
      <c r="G20" s="1126"/>
      <c r="H20" s="1125"/>
      <c r="I20" s="1123"/>
    </row>
    <row r="21" spans="2:9" ht="26.25" customHeight="1">
      <c r="B21" s="1131"/>
      <c r="C21" s="1111" t="str">
        <f>B5</f>
        <v>Ferkelbasispreis 25 kg, 200 er Gruppe (o. Mwst)</v>
      </c>
      <c r="D21" s="1111"/>
      <c r="E21" s="1111"/>
      <c r="F21" s="1083"/>
      <c r="G21" s="1091" t="s">
        <v>117</v>
      </c>
      <c r="H21" s="1112">
        <f>' 1 ZS-Aufzf..-Mast'!G65</f>
        <v>55.54225044263776</v>
      </c>
      <c r="I21" s="1124"/>
    </row>
    <row r="22" spans="2:9" ht="26.25" customHeight="1">
      <c r="B22" s="1131"/>
      <c r="C22" s="1111" t="str">
        <f>H5</f>
        <v>Basispreis / kg SG, o. Mwst.</v>
      </c>
      <c r="D22" s="1113"/>
      <c r="E22" s="1113"/>
      <c r="F22" s="1083"/>
      <c r="G22" s="1126"/>
      <c r="H22" s="1121"/>
      <c r="I22" s="1124"/>
    </row>
    <row r="23" spans="2:9" ht="26.25" customHeight="1">
      <c r="B23" s="1131"/>
      <c r="C23" s="1114" t="s">
        <v>259</v>
      </c>
      <c r="D23" s="1111" t="s">
        <v>257</v>
      </c>
      <c r="E23" s="1111"/>
      <c r="F23" s="1083"/>
      <c r="G23" s="1091" t="s">
        <v>119</v>
      </c>
      <c r="H23" s="1121"/>
      <c r="I23" s="1115">
        <f>' 1 ZS-Aufzf..-Mast'!G123</f>
        <v>1.686950160352877</v>
      </c>
    </row>
    <row r="24" spans="2:9" ht="26.25" customHeight="1" thickBot="1">
      <c r="B24" s="1136"/>
      <c r="C24" s="1116" t="s">
        <v>259</v>
      </c>
      <c r="D24" s="1117" t="s">
        <v>258</v>
      </c>
      <c r="E24" s="1117"/>
      <c r="F24" s="1118"/>
      <c r="G24" s="1119" t="s">
        <v>119</v>
      </c>
      <c r="H24" s="1122"/>
      <c r="I24" s="1120">
        <f>' 1 ZS-Aufzf..-Mast'!G128</f>
        <v>1.7031843755385376</v>
      </c>
    </row>
    <row r="25" spans="2:5" ht="18.75" customHeight="1">
      <c r="B25" s="260" t="s">
        <v>112</v>
      </c>
      <c r="C25" s="260"/>
      <c r="D25" s="260"/>
      <c r="E25" s="260"/>
    </row>
  </sheetData>
  <sheetProtection sheet="1"/>
  <mergeCells count="4">
    <mergeCell ref="H8:I8"/>
    <mergeCell ref="H9:I9"/>
    <mergeCell ref="E7:F7"/>
    <mergeCell ref="C7:D7"/>
  </mergeCells>
  <printOptions horizontalCentered="1" verticalCentered="1"/>
  <pageMargins left="0.6299212598425197" right="0.5905511811023623" top="0.66" bottom="0.48" header="0.1968503937007874" footer="0.24"/>
  <pageSetup fitToHeight="1" fitToWidth="1" horizontalDpi="600" verticalDpi="600" orientation="landscape" paperSize="9" scale="87" r:id="rId1"/>
  <headerFooter alignWithMargins="0">
    <oddFooter>&amp;LLEL, Abt. II, Se&amp;C&amp;F&amp;A&amp;R&amp;D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J26"/>
  <sheetViews>
    <sheetView zoomScale="67" zoomScaleNormal="67" zoomScalePageLayoutView="0" workbookViewId="0" topLeftCell="A7">
      <selection activeCell="D9" sqref="D9:E9"/>
    </sheetView>
  </sheetViews>
  <sheetFormatPr defaultColWidth="11.421875" defaultRowHeight="12.75"/>
  <cols>
    <col min="1" max="1" width="1.421875" style="0" customWidth="1"/>
    <col min="2" max="2" width="17.00390625" style="0" customWidth="1"/>
    <col min="3" max="3" width="59.00390625" style="0" customWidth="1"/>
    <col min="4" max="4" width="13.57421875" style="0" customWidth="1"/>
    <col min="5" max="5" width="15.7109375" style="0" customWidth="1"/>
    <col min="6" max="6" width="13.7109375" style="0" customWidth="1"/>
    <col min="7" max="7" width="27.140625" style="0" customWidth="1"/>
    <col min="8" max="8" width="25.8515625" style="0" customWidth="1"/>
    <col min="9" max="9" width="16.00390625" style="0" customWidth="1"/>
  </cols>
  <sheetData>
    <row r="1" ht="10.5" customHeight="1" thickBot="1"/>
    <row r="2" spans="2:10" ht="33" customHeight="1">
      <c r="B2" s="842" t="s">
        <v>238</v>
      </c>
      <c r="C2" s="333"/>
      <c r="D2" s="190"/>
      <c r="E2" s="190"/>
      <c r="F2" s="190"/>
      <c r="G2" s="191"/>
      <c r="H2" s="192"/>
      <c r="J2" s="844"/>
    </row>
    <row r="3" spans="2:8" ht="30.75" customHeight="1" thickBot="1">
      <c r="B3" s="193" t="s">
        <v>107</v>
      </c>
      <c r="C3" s="334"/>
      <c r="D3" s="194"/>
      <c r="E3" s="194"/>
      <c r="F3" s="194"/>
      <c r="G3" s="195"/>
      <c r="H3" s="196"/>
    </row>
    <row r="4" spans="2:8" ht="15.75" customHeight="1" thickBot="1">
      <c r="B4" s="79"/>
      <c r="C4" s="79"/>
      <c r="D4" s="79"/>
      <c r="E4" s="79"/>
      <c r="F4" s="79"/>
      <c r="G4" s="80"/>
      <c r="H4" s="80"/>
    </row>
    <row r="5" spans="2:8" ht="42.75" customHeight="1" thickBot="1">
      <c r="B5" s="812" t="str">
        <f>'2  ZS-Babyf.-Aufz.'!B14</f>
        <v>Ferkelbasispreis 25 kg, 200 er Gruppe (o. Mwst)</v>
      </c>
      <c r="C5" s="812"/>
      <c r="D5" s="632">
        <f>' 1 ZS-Aufzf..-Mast'!D14</f>
        <v>54</v>
      </c>
      <c r="E5" s="280"/>
      <c r="F5" s="1375" t="str">
        <f>'2  ZS-Babyf.-Aufz.'!B16</f>
        <v>Baby-Ferkelpreis ( beim Basisgewicht Babyferkel)</v>
      </c>
      <c r="G5" s="1376"/>
      <c r="H5" s="634">
        <f>'2  ZS-Babyf.-Aufz.'!D16</f>
        <v>36.72</v>
      </c>
    </row>
    <row r="6" spans="2:8" ht="12" customHeight="1" thickBot="1">
      <c r="B6" s="812"/>
      <c r="C6" s="812"/>
      <c r="D6" s="813"/>
      <c r="E6" s="280"/>
      <c r="F6" s="280"/>
      <c r="G6" s="814"/>
      <c r="H6" s="815"/>
    </row>
    <row r="7" spans="2:8" ht="33" customHeight="1" thickBot="1">
      <c r="B7" s="812" t="s">
        <v>163</v>
      </c>
      <c r="C7" s="812"/>
      <c r="D7" s="633">
        <f>' 1 ZS-Aufzf..-Mast'!D15</f>
        <v>25</v>
      </c>
      <c r="E7" s="280"/>
      <c r="F7" s="280"/>
      <c r="G7" s="814" t="s">
        <v>162</v>
      </c>
      <c r="H7" s="635">
        <f>'2  ZS-Babyf.-Aufz.'!D15/100</f>
        <v>0.68</v>
      </c>
    </row>
    <row r="8" spans="2:8" ht="18" customHeight="1" thickBot="1">
      <c r="B8" s="224"/>
      <c r="C8" s="224"/>
      <c r="D8" s="224"/>
      <c r="E8" s="224"/>
      <c r="F8" s="224"/>
      <c r="G8" s="598"/>
      <c r="H8" s="224"/>
    </row>
    <row r="9" spans="2:8" ht="46.5" customHeight="1" thickBot="1">
      <c r="B9" s="1035" t="str">
        <f>'2  ZS-Babyf.-Aufz.'!E4</f>
        <v>  Preise : </v>
      </c>
      <c r="C9" s="1072" t="str">
        <f>'2  ZS-Babyf.-Aufz.'!F4</f>
        <v>Anfang Oktober 2016</v>
      </c>
      <c r="D9" s="1381">
        <f>'2  ZS-Babyf.-Aufz.'!H4</f>
        <v>42647</v>
      </c>
      <c r="E9" s="1382"/>
      <c r="F9" s="816"/>
      <c r="G9" s="817" t="str">
        <f>'2  ZS-Babyf.-Aufz.'!B13</f>
        <v>Zuchtsau mit Babyferkeln</v>
      </c>
      <c r="H9" s="818" t="str">
        <f>'2  ZS-Babyf.-Aufz.'!B75</f>
        <v>Ferkelaufzucht</v>
      </c>
    </row>
    <row r="10" spans="2:8" ht="31.5" customHeight="1">
      <c r="B10" s="923"/>
      <c r="C10" s="924"/>
      <c r="D10" s="924"/>
      <c r="E10" s="925"/>
      <c r="F10" s="925"/>
      <c r="G10" s="1377" t="str">
        <f>IF('2  ZS-Babyf.-Aufz.'!$E$7="","mit Investitionsförderung","ohne Investitionsförderung")</f>
        <v>ohne Investitionsförderung</v>
      </c>
      <c r="H10" s="1378"/>
    </row>
    <row r="11" spans="2:8" ht="29.25" customHeight="1" thickBot="1">
      <c r="B11" s="926"/>
      <c r="C11" s="927"/>
      <c r="D11" s="927"/>
      <c r="E11" s="928"/>
      <c r="F11" s="928"/>
      <c r="G11" s="1379" t="str">
        <f>IF('2  ZS-Babyf.-Aufz.'!$I$7="","Pauschalierung der Mwst.","Regelbesteuerung bzw. Option")</f>
        <v>Pauschalierung der Mwst.</v>
      </c>
      <c r="H11" s="1380"/>
    </row>
    <row r="12" spans="2:8" ht="29.25" customHeight="1">
      <c r="B12" s="819" t="s">
        <v>129</v>
      </c>
      <c r="C12" s="820"/>
      <c r="D12" s="820"/>
      <c r="E12" s="821"/>
      <c r="F12" s="822" t="s">
        <v>126</v>
      </c>
      <c r="G12" s="974">
        <f>'2  ZS-Babyf.-Aufz.'!G35</f>
        <v>26</v>
      </c>
      <c r="H12" s="793"/>
    </row>
    <row r="13" spans="2:8" ht="29.25" customHeight="1">
      <c r="B13" s="823" t="str">
        <f>'2  ZS-Babyf.-Aufz.'!B99</f>
        <v>Futterverwertung</v>
      </c>
      <c r="C13" s="824"/>
      <c r="D13" s="824"/>
      <c r="E13" s="825"/>
      <c r="F13" s="826" t="s">
        <v>84</v>
      </c>
      <c r="G13" s="794"/>
      <c r="H13" s="795">
        <f>'2  ZS-Babyf.-Aufz.'!G99</f>
        <v>1.8</v>
      </c>
    </row>
    <row r="14" spans="2:8" ht="29.25" customHeight="1">
      <c r="B14" s="827" t="s">
        <v>85</v>
      </c>
      <c r="C14" s="828"/>
      <c r="D14" s="828"/>
      <c r="E14" s="829"/>
      <c r="F14" s="830" t="s">
        <v>159</v>
      </c>
      <c r="G14" s="796"/>
      <c r="H14" s="978">
        <f>'2  ZS-Babyf.-Aufz.'!G100/100</f>
        <v>0.03</v>
      </c>
    </row>
    <row r="15" spans="2:8" ht="29.25" customHeight="1">
      <c r="B15" s="823" t="s">
        <v>252</v>
      </c>
      <c r="C15" s="824"/>
      <c r="D15" s="824"/>
      <c r="E15" s="825"/>
      <c r="F15" s="831" t="s">
        <v>127</v>
      </c>
      <c r="G15" s="798">
        <f>'2  ZS-Babyf.-Aufz.'!D20+'2  ZS-Babyf.-Aufz.'!D21</f>
        <v>5</v>
      </c>
      <c r="H15" s="799">
        <f>('2  ZS-Babyf.-Aufz.'!D81)</f>
        <v>7</v>
      </c>
    </row>
    <row r="16" spans="2:8" ht="29.25" customHeight="1">
      <c r="B16" s="823" t="s">
        <v>344</v>
      </c>
      <c r="C16" s="824"/>
      <c r="E16" s="824"/>
      <c r="F16" s="832" t="s">
        <v>117</v>
      </c>
      <c r="G16" s="800">
        <f>'2  ZS-Babyf.-Aufz.'!D30</f>
        <v>4165</v>
      </c>
      <c r="H16" s="801">
        <f>'2  ZS-Babyf.-Aufz.'!D92</f>
        <v>416.5</v>
      </c>
    </row>
    <row r="17" spans="2:8" ht="29.25" customHeight="1">
      <c r="B17" s="827" t="s">
        <v>147</v>
      </c>
      <c r="C17" s="828"/>
      <c r="D17" s="828"/>
      <c r="E17" s="829"/>
      <c r="F17" s="833" t="s">
        <v>29</v>
      </c>
      <c r="G17" s="802">
        <f>'2  ZS-Babyf.-Aufz.'!H31</f>
        <v>10</v>
      </c>
      <c r="H17" s="803">
        <f>'2  ZS-Babyf.-Aufz.'!H93</f>
        <v>0.8</v>
      </c>
    </row>
    <row r="18" spans="2:8" ht="29.25" customHeight="1">
      <c r="B18" s="834" t="s">
        <v>91</v>
      </c>
      <c r="C18" s="835"/>
      <c r="D18" s="280"/>
      <c r="E18" s="835" t="s">
        <v>124</v>
      </c>
      <c r="F18" s="836" t="s">
        <v>117</v>
      </c>
      <c r="G18" s="804">
        <f>'2  ZS-Babyf.-Aufz.'!G49</f>
        <v>548.7918339999999</v>
      </c>
      <c r="H18" s="805">
        <f>'2  ZS-Babyf.-Aufz.'!G111</f>
        <v>5.112535171428561</v>
      </c>
    </row>
    <row r="19" spans="2:8" ht="29.25" customHeight="1">
      <c r="B19" s="834"/>
      <c r="C19" s="835"/>
      <c r="D19" s="280"/>
      <c r="E19" s="835" t="s">
        <v>125</v>
      </c>
      <c r="F19" s="837" t="s">
        <v>117</v>
      </c>
      <c r="G19" s="804">
        <f>G18</f>
        <v>548.7918339999999</v>
      </c>
      <c r="H19" s="805">
        <f>'2  ZS-Babyf.-Aufz.'!G112</f>
        <v>28.630196959999942</v>
      </c>
    </row>
    <row r="20" spans="2:8" ht="29.25" customHeight="1">
      <c r="B20" s="827" t="s">
        <v>149</v>
      </c>
      <c r="C20" s="828"/>
      <c r="D20" s="828"/>
      <c r="E20" s="829"/>
      <c r="F20" s="833" t="s">
        <v>5</v>
      </c>
      <c r="G20" s="806">
        <f>'2  ZS-Babyf.-Aufz.'!G50</f>
        <v>1.1318212611497807</v>
      </c>
      <c r="H20" s="797">
        <f>'2  ZS-Babyf.-Aufz.'!G113</f>
        <v>0.6314904209539551</v>
      </c>
    </row>
    <row r="21" spans="2:8" ht="29.25" customHeight="1">
      <c r="B21" s="823" t="s">
        <v>92</v>
      </c>
      <c r="C21" s="824"/>
      <c r="D21" s="824"/>
      <c r="E21" s="824"/>
      <c r="F21" s="838" t="s">
        <v>117</v>
      </c>
      <c r="G21" s="807">
        <f>'2  ZS-Babyf.-Aufz.'!G54</f>
        <v>22.141683399999987</v>
      </c>
      <c r="H21" s="808">
        <f>'2  ZS-Babyf.-Aufz.'!G117</f>
        <v>-5.134128800000073</v>
      </c>
    </row>
    <row r="22" spans="2:8" ht="29.25" customHeight="1">
      <c r="B22" s="827" t="s">
        <v>131</v>
      </c>
      <c r="C22" s="828"/>
      <c r="D22" s="828"/>
      <c r="E22" s="828"/>
      <c r="F22" s="839" t="s">
        <v>5</v>
      </c>
      <c r="G22" s="809">
        <f>'2  ZS-Babyf.-Aufz.'!G57</f>
        <v>0.0606923572629051</v>
      </c>
      <c r="H22" s="810">
        <f>'2  ZS-Babyf.-Aufz.'!G120</f>
        <v>-0.050227145450180345</v>
      </c>
    </row>
    <row r="23" spans="2:8" ht="29.25" customHeight="1">
      <c r="B23" s="827" t="str">
        <f>'2  ZS-Babyf.-Aufz.'!B121</f>
        <v>Erzeugungskosten / Ferkel brutto ( abzgl. Nebenleist. )</v>
      </c>
      <c r="C23" s="828"/>
      <c r="D23" s="828"/>
      <c r="E23" s="828"/>
      <c r="F23" s="630" t="s">
        <v>117</v>
      </c>
      <c r="G23" s="668">
        <f>'2  ZS-Babyf.-Aufz.'!G58</f>
        <v>43.172200230769235</v>
      </c>
      <c r="H23" s="811">
        <f>'2  ZS-Babyf.-Aufz.'!G121</f>
        <v>78.25944697142857</v>
      </c>
    </row>
    <row r="24" spans="2:8" s="280" customFormat="1" ht="29.25" customHeight="1">
      <c r="B24" s="1371" t="s">
        <v>343</v>
      </c>
      <c r="C24" s="1372"/>
      <c r="D24" s="1372"/>
      <c r="E24" s="1372"/>
      <c r="F24" s="630" t="s">
        <v>117</v>
      </c>
      <c r="G24" s="791">
        <f>'2  ZS-Babyf.-Aufz.'!G59</f>
        <v>50.73423166848561</v>
      </c>
      <c r="H24" s="669"/>
    </row>
    <row r="25" spans="2:8" s="280" customFormat="1" ht="29.25" customHeight="1" thickBot="1">
      <c r="B25" s="1373" t="s">
        <v>158</v>
      </c>
      <c r="C25" s="1374"/>
      <c r="D25" s="1374"/>
      <c r="E25" s="1374"/>
      <c r="F25" s="631" t="s">
        <v>117</v>
      </c>
      <c r="G25" s="670"/>
      <c r="H25" s="792">
        <f>'2  ZS-Babyf.-Aufz.'!G123</f>
        <v>32.54904697142857</v>
      </c>
    </row>
    <row r="26" spans="2:3" ht="21.75" customHeight="1">
      <c r="B26" s="224" t="s">
        <v>112</v>
      </c>
      <c r="C26" s="260"/>
    </row>
  </sheetData>
  <sheetProtection sheet="1"/>
  <mergeCells count="6">
    <mergeCell ref="B24:E24"/>
    <mergeCell ref="B25:E25"/>
    <mergeCell ref="F5:G5"/>
    <mergeCell ref="G10:H10"/>
    <mergeCell ref="G11:H11"/>
    <mergeCell ref="D9:E9"/>
  </mergeCells>
  <printOptions horizontalCentered="1" verticalCentered="1"/>
  <pageMargins left="0.44" right="0.41" top="0.57" bottom="0.4724409448818898" header="0.1968503937007874" footer="0.2362204724409449"/>
  <pageSetup fitToHeight="1" fitToWidth="1" horizontalDpi="600" verticalDpi="600" orientation="landscape" paperSize="9" scale="74" r:id="rId1"/>
  <headerFooter alignWithMargins="0">
    <oddFooter>&amp;LLEL, Abt. II, Se&amp;C&amp;F&amp;A&amp;R&amp;D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J23"/>
  <sheetViews>
    <sheetView zoomScale="68" zoomScaleNormal="68" zoomScalePageLayoutView="0" workbookViewId="0" topLeftCell="A1">
      <selection activeCell="C11" sqref="C11:D11"/>
    </sheetView>
  </sheetViews>
  <sheetFormatPr defaultColWidth="11.421875" defaultRowHeight="12.75"/>
  <cols>
    <col min="1" max="1" width="1.421875" style="0" customWidth="1"/>
    <col min="2" max="2" width="51.7109375" style="0" customWidth="1"/>
    <col min="3" max="3" width="12.140625" style="0" customWidth="1"/>
    <col min="4" max="4" width="17.140625" style="0" customWidth="1"/>
    <col min="5" max="5" width="14.00390625" style="0" customWidth="1"/>
    <col min="6" max="7" width="24.00390625" style="0" customWidth="1"/>
    <col min="8" max="8" width="16.00390625" style="0" customWidth="1"/>
  </cols>
  <sheetData>
    <row r="1" ht="20.25" customHeight="1" thickBot="1"/>
    <row r="2" spans="2:10" ht="33" customHeight="1">
      <c r="B2" s="189" t="s">
        <v>253</v>
      </c>
      <c r="C2" s="336"/>
      <c r="D2" s="190"/>
      <c r="E2" s="190"/>
      <c r="F2" s="191"/>
      <c r="G2" s="192"/>
      <c r="J2" s="844"/>
    </row>
    <row r="3" spans="2:7" ht="30.75" customHeight="1" thickBot="1">
      <c r="B3" s="193" t="s">
        <v>107</v>
      </c>
      <c r="C3" s="334"/>
      <c r="D3" s="194"/>
      <c r="E3" s="194"/>
      <c r="F3" s="195"/>
      <c r="G3" s="196"/>
    </row>
    <row r="4" spans="2:7" ht="12" customHeight="1" thickBot="1">
      <c r="B4" s="79"/>
      <c r="C4" s="79"/>
      <c r="D4" s="79"/>
      <c r="E4" s="79"/>
      <c r="F4" s="80"/>
      <c r="G4" s="80"/>
    </row>
    <row r="5" spans="2:7" ht="39" customHeight="1" thickBot="1">
      <c r="B5" s="646" t="str">
        <f>' 1 ZS-Aufzf..-Mast'!B14</f>
        <v>Ferkelbasispreis 25 kg, 200 er Gruppe (o. Mwst)</v>
      </c>
      <c r="C5" s="595">
        <f>' 1 ZS-Aufzf..-Mast'!D14</f>
        <v>54</v>
      </c>
      <c r="D5" s="224"/>
      <c r="E5" s="1387" t="str">
        <f>'2  ZS-Babyf.-Aufz.'!B16</f>
        <v>Baby-Ferkelpreis ( beim Basisgewicht Babyferkel)</v>
      </c>
      <c r="F5" s="1388"/>
      <c r="G5" s="597">
        <f>'2  ZS-Babyf.-Aufz.'!D16</f>
        <v>36.72</v>
      </c>
    </row>
    <row r="6" spans="2:7" ht="10.5" customHeight="1" thickBot="1">
      <c r="B6" s="594"/>
      <c r="C6" s="637"/>
      <c r="D6" s="224"/>
      <c r="E6" s="636"/>
      <c r="F6" s="596"/>
      <c r="G6" s="621"/>
    </row>
    <row r="7" spans="2:7" ht="27" customHeight="1" thickBot="1">
      <c r="B7" s="1386" t="s">
        <v>163</v>
      </c>
      <c r="C7" s="224"/>
      <c r="D7" s="224"/>
      <c r="E7" s="224"/>
      <c r="F7" s="596" t="s">
        <v>162</v>
      </c>
      <c r="G7" s="622">
        <f>'2  ZS-Babyf.-Aufz.'!D15/100</f>
        <v>0.68</v>
      </c>
    </row>
    <row r="8" spans="2:7" ht="7.5" customHeight="1" thickBot="1">
      <c r="B8" s="1252"/>
      <c r="C8" s="638"/>
      <c r="D8" s="639"/>
      <c r="E8" s="224"/>
      <c r="F8" s="596"/>
      <c r="G8" s="640"/>
    </row>
    <row r="9" spans="2:7" ht="23.25" customHeight="1" thickBot="1">
      <c r="B9" s="1252"/>
      <c r="C9" s="641">
        <f>' 1 ZS-Aufzf..-Mast'!D15</f>
        <v>25</v>
      </c>
      <c r="D9" s="224"/>
      <c r="E9" s="224"/>
      <c r="F9" s="642" t="str">
        <f>'2  ZS-Babyf.-Aufz.'!B17</f>
        <v>Basisgewicht für Preisfindung Babyferkel (kg)</v>
      </c>
      <c r="G9" s="643">
        <f>'2  ZS-Babyf.-Aufz.'!D17</f>
        <v>8</v>
      </c>
    </row>
    <row r="10" spans="2:7" ht="9.75" customHeight="1" thickBot="1">
      <c r="B10" s="224"/>
      <c r="C10" s="224"/>
      <c r="D10" s="224"/>
      <c r="E10" s="224"/>
      <c r="F10" s="598"/>
      <c r="G10" s="224"/>
    </row>
    <row r="11" spans="2:7" ht="39.75" customHeight="1">
      <c r="B11" s="1416" t="str">
        <f>'4 Vergl. BabyFE- Aufz.'!B9</f>
        <v>  Preise : </v>
      </c>
      <c r="C11" s="1417" t="str">
        <f>'4 Vergl. BabyFE- Aufz.'!C9</f>
        <v>Anfang Oktober 2016</v>
      </c>
      <c r="D11" s="782"/>
      <c r="E11" s="782"/>
      <c r="F11" s="783" t="str">
        <f>' 1 ZS-Aufzf..-Mast'!B13</f>
        <v>Zuchtsau mit Aufzuchtferkeln </v>
      </c>
      <c r="G11" s="784" t="str">
        <f>'2  ZS-Babyf.-Aufz.'!B13</f>
        <v>Zuchtsau mit Babyferkeln</v>
      </c>
    </row>
    <row r="12" spans="2:7" ht="27" customHeight="1">
      <c r="B12" s="601"/>
      <c r="C12" s="177"/>
      <c r="D12" s="264"/>
      <c r="E12" s="264"/>
      <c r="F12" s="918" t="str">
        <f>IF(' 1 ZS-Aufzf..-Mast'!$E$7="","mit Förderung","ohne Förderung")</f>
        <v>ohne Förderung</v>
      </c>
      <c r="G12" s="919" t="str">
        <f>IF('2  ZS-Babyf.-Aufz.'!E7="","mit Förderung","ohne Förderung")</f>
        <v>ohne Förderung</v>
      </c>
    </row>
    <row r="13" spans="2:7" ht="27" customHeight="1" thickBot="1">
      <c r="B13" s="618"/>
      <c r="C13" s="619"/>
      <c r="D13" s="785"/>
      <c r="E13" s="785"/>
      <c r="F13" s="920" t="str">
        <f>IF(' 1 ZS-Aufzf..-Mast'!$I$7="","Pauschalierung","Regelbesteuerung")</f>
        <v>Pauschalierung</v>
      </c>
      <c r="G13" s="917" t="str">
        <f>IF('2  ZS-Babyf.-Aufz.'!$I$7="","Pauschalierung","Regelbesteuerung")</f>
        <v>Pauschalierung</v>
      </c>
    </row>
    <row r="14" spans="2:7" ht="27" customHeight="1">
      <c r="B14" s="599" t="s">
        <v>129</v>
      </c>
      <c r="C14" s="600"/>
      <c r="D14" s="623"/>
      <c r="E14" s="624" t="s">
        <v>126</v>
      </c>
      <c r="F14" s="975">
        <f>' 1 ZS-Aufzf..-Mast'!G37</f>
        <v>25</v>
      </c>
      <c r="G14" s="976">
        <f>'2  ZS-Babyf.-Aufz.'!G35</f>
        <v>26</v>
      </c>
    </row>
    <row r="15" spans="2:7" ht="27" customHeight="1">
      <c r="B15" s="601" t="s">
        <v>128</v>
      </c>
      <c r="C15" s="177"/>
      <c r="D15" s="264"/>
      <c r="E15" s="626" t="s">
        <v>127</v>
      </c>
      <c r="F15" s="602">
        <f>' 1 ZS-Aufzf..-Mast'!D18+' 1 ZS-Aufzf..-Mast'!D19</f>
        <v>5.5</v>
      </c>
      <c r="G15" s="603">
        <f>'2  ZS-Babyf.-Aufz.'!D20+'2  ZS-Babyf.-Aufz.'!D21</f>
        <v>5</v>
      </c>
    </row>
    <row r="16" spans="2:7" ht="27" customHeight="1">
      <c r="B16" s="601" t="s">
        <v>345</v>
      </c>
      <c r="C16" s="177"/>
      <c r="D16" s="264"/>
      <c r="E16" s="626" t="s">
        <v>117</v>
      </c>
      <c r="F16" s="604">
        <f>' 1 ZS-Aufzf..-Mast'!D30</f>
        <v>4165</v>
      </c>
      <c r="G16" s="605">
        <f>'2  ZS-Babyf.-Aufz.'!D30</f>
        <v>4165</v>
      </c>
    </row>
    <row r="17" spans="2:7" ht="27" customHeight="1">
      <c r="B17" s="606" t="s">
        <v>122</v>
      </c>
      <c r="C17" s="607"/>
      <c r="D17" s="625"/>
      <c r="E17" s="627" t="s">
        <v>29</v>
      </c>
      <c r="F17" s="644">
        <f>' 1 ZS-Aufzf..-Mast'!H32</f>
        <v>15</v>
      </c>
      <c r="G17" s="645">
        <f>'2  ZS-Babyf.-Aufz.'!H31</f>
        <v>10</v>
      </c>
    </row>
    <row r="18" spans="2:7" ht="27" customHeight="1">
      <c r="B18" s="608" t="s">
        <v>134</v>
      </c>
      <c r="C18" s="609"/>
      <c r="D18" s="628"/>
      <c r="E18" s="629" t="s">
        <v>117</v>
      </c>
      <c r="F18" s="610">
        <f>' 1 ZS-Aufzf..-Mast'!G52</f>
        <v>665.396344</v>
      </c>
      <c r="G18" s="611">
        <f>'2  ZS-Babyf.-Aufz.'!G49</f>
        <v>548.7918339999999</v>
      </c>
    </row>
    <row r="19" spans="2:7" ht="27" customHeight="1">
      <c r="B19" s="606" t="s">
        <v>149</v>
      </c>
      <c r="C19" s="607"/>
      <c r="D19" s="625"/>
      <c r="E19" s="627" t="s">
        <v>5</v>
      </c>
      <c r="F19" s="612">
        <f>' 1 ZS-Aufzf..-Mast'!G53</f>
        <v>0.939721650065097</v>
      </c>
      <c r="G19" s="613">
        <f>'2  ZS-Babyf.-Aufz.'!G50</f>
        <v>1.1318212611497807</v>
      </c>
    </row>
    <row r="20" spans="2:7" ht="27" customHeight="1">
      <c r="B20" s="601" t="s">
        <v>92</v>
      </c>
      <c r="C20" s="177"/>
      <c r="D20" s="264"/>
      <c r="E20" s="626" t="s">
        <v>117</v>
      </c>
      <c r="F20" s="614">
        <f>' 1 ZS-Aufzf..-Mast'!G58</f>
        <v>12.904547933333333</v>
      </c>
      <c r="G20" s="615">
        <f>'2  ZS-Babyf.-Aufz.'!G54</f>
        <v>22.141683399999987</v>
      </c>
    </row>
    <row r="21" spans="2:7" ht="27" customHeight="1">
      <c r="B21" s="606" t="s">
        <v>231</v>
      </c>
      <c r="C21" s="607"/>
      <c r="D21" s="625"/>
      <c r="E21" s="627" t="s">
        <v>5</v>
      </c>
      <c r="F21" s="616">
        <f>' 1 ZS-Aufzf..-Mast'!G61</f>
        <v>0.01583030405643739</v>
      </c>
      <c r="G21" s="617">
        <f>'2  ZS-Babyf.-Aufz.'!G57</f>
        <v>0.0606923572629051</v>
      </c>
    </row>
    <row r="22" spans="2:7" ht="42.75" customHeight="1" thickBot="1">
      <c r="B22" s="1383" t="s">
        <v>183</v>
      </c>
      <c r="C22" s="1384"/>
      <c r="D22" s="1385"/>
      <c r="E22" s="647" t="s">
        <v>117</v>
      </c>
      <c r="F22" s="876">
        <f>' 1 ZS-Aufzf..-Mast'!G65</f>
        <v>55.54225044263776</v>
      </c>
      <c r="G22" s="620">
        <f>'2  ZS-Babyf.-Aufz.'!G59</f>
        <v>50.73423166848561</v>
      </c>
    </row>
    <row r="23" spans="2:3" ht="18.75" customHeight="1">
      <c r="B23" s="260" t="s">
        <v>112</v>
      </c>
      <c r="C23" s="260"/>
    </row>
  </sheetData>
  <sheetProtection sheet="1"/>
  <mergeCells count="3">
    <mergeCell ref="B22:D22"/>
    <mergeCell ref="B7:B9"/>
    <mergeCell ref="E5:F5"/>
  </mergeCells>
  <printOptions horizontalCentered="1" verticalCentered="1"/>
  <pageMargins left="0.6299212598425197" right="0.59" top="0.77" bottom="0.58" header="0.1968503937007874" footer="0.35433070866141736"/>
  <pageSetup fitToHeight="1" fitToWidth="1" horizontalDpi="600" verticalDpi="600" orientation="landscape" paperSize="9" scale="92" r:id="rId1"/>
  <headerFooter alignWithMargins="0">
    <oddFooter>&amp;LLEL, Abt. II, Se&amp;C&amp;F&amp;A&amp;R&amp;D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J23"/>
  <sheetViews>
    <sheetView zoomScale="50" zoomScaleNormal="50" zoomScalePageLayoutView="0" workbookViewId="0" topLeftCell="A1">
      <selection activeCell="M12" sqref="M12"/>
    </sheetView>
  </sheetViews>
  <sheetFormatPr defaultColWidth="11.421875" defaultRowHeight="12.75"/>
  <cols>
    <col min="1" max="1" width="1.421875" style="0" customWidth="1"/>
    <col min="2" max="2" width="88.421875" style="0" customWidth="1"/>
    <col min="3" max="3" width="22.421875" style="0" customWidth="1"/>
    <col min="4" max="4" width="2.8515625" style="0" customWidth="1"/>
    <col min="5" max="5" width="39.28125" style="0" customWidth="1"/>
    <col min="6" max="6" width="21.57421875" style="0" customWidth="1"/>
    <col min="7" max="7" width="19.7109375" style="0" customWidth="1"/>
    <col min="8" max="8" width="16.00390625" style="0" customWidth="1"/>
  </cols>
  <sheetData>
    <row r="1" ht="13.5" thickBot="1"/>
    <row r="2" spans="2:10" ht="41.25" customHeight="1">
      <c r="B2" s="843" t="s">
        <v>233</v>
      </c>
      <c r="C2" s="190"/>
      <c r="D2" s="190"/>
      <c r="E2" s="191"/>
      <c r="F2" s="191"/>
      <c r="G2" s="192"/>
      <c r="J2" s="844"/>
    </row>
    <row r="3" spans="2:7" ht="32.25" customHeight="1" thickBot="1">
      <c r="B3" s="193" t="s">
        <v>107</v>
      </c>
      <c r="C3" s="194"/>
      <c r="D3" s="194"/>
      <c r="E3" s="195"/>
      <c r="F3" s="195"/>
      <c r="G3" s="196"/>
    </row>
    <row r="4" spans="2:7" ht="27" customHeight="1" thickBot="1">
      <c r="B4" s="79"/>
      <c r="C4" s="79"/>
      <c r="D4" s="79"/>
      <c r="E4" s="80"/>
      <c r="F4" s="80"/>
      <c r="G4" s="80"/>
    </row>
    <row r="5" spans="2:4" ht="38.25" customHeight="1" thickBot="1">
      <c r="B5" s="298" t="str">
        <f>'2  ZS-Babyf.-Aufz.'!B14</f>
        <v>Ferkelbasispreis 25 kg, 200 er Gruppe (o. Mwst)</v>
      </c>
      <c r="C5" s="335">
        <f>' 1 ZS-Aufzf..-Mast'!D14</f>
        <v>54</v>
      </c>
      <c r="D5" s="346"/>
    </row>
    <row r="6" spans="2:4" ht="9.75" customHeight="1" thickBot="1">
      <c r="B6" s="298"/>
      <c r="C6" s="324"/>
      <c r="D6" s="324"/>
    </row>
    <row r="7" spans="2:7" ht="39" customHeight="1" thickBot="1">
      <c r="B7" s="298" t="str">
        <f>'5 Vergleich Fe.erzeug.'!B7</f>
        <v>Basisgewicht Ferkel für obigen Preis (kg)</v>
      </c>
      <c r="C7" s="347">
        <f>'5 Vergleich Fe.erzeug.'!C9</f>
        <v>25</v>
      </c>
      <c r="D7" s="348"/>
      <c r="E7" s="1389" t="str">
        <f>' 1 ZS-Aufzf..-Mast'!B81</f>
        <v>Basispreis / kg SG, o. Mwst.</v>
      </c>
      <c r="F7" s="1390"/>
      <c r="G7" s="337">
        <f>' 1 ZS-Aufzf..-Mast'!D81</f>
        <v>1.75</v>
      </c>
    </row>
    <row r="8" spans="2:7" ht="12" customHeight="1" thickBot="1">
      <c r="B8" s="298"/>
      <c r="C8" s="324"/>
      <c r="D8" s="324"/>
      <c r="E8" s="338"/>
      <c r="F8" s="338"/>
      <c r="G8" s="325"/>
    </row>
    <row r="9" spans="2:7" ht="56.25" customHeight="1" thickBot="1">
      <c r="B9" s="326" t="s">
        <v>294</v>
      </c>
      <c r="C9" s="335">
        <f>'2  ZS-Babyf.-Aufz.'!D16</f>
        <v>36.72</v>
      </c>
      <c r="D9" s="346"/>
      <c r="E9" s="1391" t="str">
        <f>'5 Vergleich Fe.erzeug.'!F9</f>
        <v>Basisgewicht für Preisfindung Babyferkel (kg)</v>
      </c>
      <c r="F9" s="1391"/>
      <c r="G9" s="347">
        <f>'5 Vergleich Fe.erzeug.'!G9</f>
        <v>8</v>
      </c>
    </row>
    <row r="10" spans="2:7" ht="21.75" customHeight="1" thickBot="1">
      <c r="B10" s="78"/>
      <c r="C10" s="217"/>
      <c r="D10" s="217"/>
      <c r="E10" s="182"/>
      <c r="F10" s="182"/>
      <c r="G10" s="78"/>
    </row>
    <row r="11" spans="2:7" ht="44.25" customHeight="1">
      <c r="B11" s="1420" t="str">
        <f>'4 Vergl. BabyFE- Aufz.'!B9</f>
        <v>  Preise : </v>
      </c>
      <c r="C11" s="1418" t="str">
        <f>'5 Vergleich Fe.erzeug.'!C11</f>
        <v>Anfang Oktober 2016</v>
      </c>
      <c r="D11" s="789"/>
      <c r="E11" s="790" t="str">
        <f>'2  ZS-Babyf.-Aufz.'!B75</f>
        <v>Ferkelaufzucht</v>
      </c>
      <c r="F11" s="1398" t="str">
        <f>' 1 ZS-Aufzf..-Mast'!B78</f>
        <v>Schweinemast </v>
      </c>
      <c r="G11" s="1399"/>
    </row>
    <row r="12" spans="2:7" ht="42.75" customHeight="1">
      <c r="B12" s="786"/>
      <c r="C12" s="1419"/>
      <c r="D12" s="788"/>
      <c r="E12" s="922" t="str">
        <f>IF('2  ZS-Babyf.-Aufz.'!E7="","mit Förderung","ohne Förderung")</f>
        <v>ohne Förderung</v>
      </c>
      <c r="F12" s="1394" t="str">
        <f>IF(' 1 ZS-Aufzf..-Mast'!$E$7="","mit Förderung","ohne Förderung")</f>
        <v>ohne Förderung</v>
      </c>
      <c r="G12" s="1395"/>
    </row>
    <row r="13" spans="2:7" ht="42.75" customHeight="1" thickBot="1">
      <c r="B13" s="786"/>
      <c r="C13" s="787"/>
      <c r="D13" s="788"/>
      <c r="E13" s="921" t="str">
        <f>IF('2  ZS-Babyf.-Aufz.'!$I$7="","Pauschalierung","Regelbesteuerung")</f>
        <v>Pauschalierung</v>
      </c>
      <c r="F13" s="1396" t="str">
        <f>IF(' 1 ZS-Aufzf..-Mast'!$I$7="","Pauschalierung","Regelbesteuerung")</f>
        <v>Pauschalierung</v>
      </c>
      <c r="G13" s="1397"/>
    </row>
    <row r="14" spans="2:7" ht="42.75" customHeight="1">
      <c r="B14" s="327" t="s">
        <v>95</v>
      </c>
      <c r="C14" s="320" t="s">
        <v>84</v>
      </c>
      <c r="D14" s="350"/>
      <c r="E14" s="667">
        <f>'2  ZS-Babyf.-Aufz.'!G99</f>
        <v>1.8</v>
      </c>
      <c r="F14" s="1400">
        <f>' 1 ZS-Aufzf..-Mast'!D85</f>
        <v>2.9</v>
      </c>
      <c r="G14" s="1401"/>
    </row>
    <row r="15" spans="2:7" ht="42.75" customHeight="1">
      <c r="B15" s="328" t="s">
        <v>344</v>
      </c>
      <c r="C15" s="321" t="s">
        <v>117</v>
      </c>
      <c r="D15" s="351"/>
      <c r="E15" s="252">
        <f>'2  ZS-Babyf.-Aufz.'!D92</f>
        <v>416.5</v>
      </c>
      <c r="F15" s="1404">
        <f>' 1 ZS-Aufzf..-Mast'!D92</f>
        <v>714</v>
      </c>
      <c r="G15" s="1405"/>
    </row>
    <row r="16" spans="2:7" ht="42.75" customHeight="1">
      <c r="B16" s="329" t="s">
        <v>97</v>
      </c>
      <c r="C16" s="322" t="s">
        <v>29</v>
      </c>
      <c r="D16" s="352"/>
      <c r="E16" s="272">
        <f>'2  ZS-Babyf.-Aufz.'!H93</f>
        <v>0.8</v>
      </c>
      <c r="F16" s="1406">
        <f>' 1 ZS-Aufzf..-Mast'!H94</f>
        <v>1.2</v>
      </c>
      <c r="G16" s="1407"/>
    </row>
    <row r="17" spans="2:7" ht="42.75" customHeight="1">
      <c r="B17" s="328" t="s">
        <v>165</v>
      </c>
      <c r="C17" s="321" t="s">
        <v>117</v>
      </c>
      <c r="D17" s="351"/>
      <c r="E17" s="349">
        <f>'4 Vergl. BabyFE- Aufz.'!H18</f>
        <v>5.112535171428561</v>
      </c>
      <c r="F17" s="1392">
        <f>' 1 ZS-Aufzf..-Mast'!G111</f>
        <v>33.215926254127396</v>
      </c>
      <c r="G17" s="1393"/>
    </row>
    <row r="18" spans="2:7" s="983" customFormat="1" ht="42.75" customHeight="1">
      <c r="B18" s="979" t="s">
        <v>96</v>
      </c>
      <c r="C18" s="980" t="s">
        <v>117</v>
      </c>
      <c r="D18" s="981"/>
      <c r="E18" s="982">
        <f>'2  ZS-Babyf.-Aufz.'!G112</f>
        <v>28.630196959999942</v>
      </c>
      <c r="F18" s="1412">
        <f>' 1 ZS-Aufzf..-Mast'!G112</f>
        <v>93.01857237336648</v>
      </c>
      <c r="G18" s="1413"/>
    </row>
    <row r="19" spans="2:7" ht="42.75" customHeight="1">
      <c r="B19" s="329" t="s">
        <v>149</v>
      </c>
      <c r="C19" s="269" t="s">
        <v>5</v>
      </c>
      <c r="D19" s="386"/>
      <c r="E19" s="345">
        <f>'2  ZS-Babyf.-Aufz.'!G113</f>
        <v>0.6314904209539551</v>
      </c>
      <c r="F19" s="1410">
        <f>' 1 ZS-Aufzf..-Mast'!G113</f>
        <v>1.2494099714354128</v>
      </c>
      <c r="G19" s="1411"/>
    </row>
    <row r="20" spans="2:7" ht="42.75" customHeight="1">
      <c r="B20" s="328" t="s">
        <v>92</v>
      </c>
      <c r="C20" s="321" t="s">
        <v>151</v>
      </c>
      <c r="D20" s="351"/>
      <c r="E20" s="268">
        <f>'2  ZS-Babyf.-Aufz.'!G117</f>
        <v>-5.134128800000073</v>
      </c>
      <c r="F20" s="1408">
        <f>' 1 ZS-Aufzf..-Mast'!G117</f>
        <v>31.22381031113873</v>
      </c>
      <c r="G20" s="1409"/>
    </row>
    <row r="21" spans="2:7" ht="42.75" customHeight="1" thickBot="1">
      <c r="B21" s="330" t="s">
        <v>131</v>
      </c>
      <c r="C21" s="323" t="s">
        <v>5</v>
      </c>
      <c r="D21" s="353"/>
      <c r="E21" s="270">
        <f>'2  ZS-Babyf.-Aufz.'!G120</f>
        <v>-0.050227145450180345</v>
      </c>
      <c r="F21" s="1402">
        <f>' 1 ZS-Aufzf..-Mast'!G120</f>
        <v>0.08201280776853354</v>
      </c>
      <c r="G21" s="1403"/>
    </row>
    <row r="23" ht="18.75" customHeight="1">
      <c r="B23" s="260" t="s">
        <v>112</v>
      </c>
    </row>
  </sheetData>
  <sheetProtection sheet="1"/>
  <mergeCells count="14">
    <mergeCell ref="C11:C12"/>
    <mergeCell ref="F21:G21"/>
    <mergeCell ref="F15:G15"/>
    <mergeCell ref="F16:G16"/>
    <mergeCell ref="F20:G20"/>
    <mergeCell ref="F19:G19"/>
    <mergeCell ref="F18:G18"/>
    <mergeCell ref="E7:F7"/>
    <mergeCell ref="E9:F9"/>
    <mergeCell ref="F17:G17"/>
    <mergeCell ref="F12:G12"/>
    <mergeCell ref="F13:G13"/>
    <mergeCell ref="F11:G11"/>
    <mergeCell ref="F14:G14"/>
  </mergeCells>
  <printOptions horizontalCentered="1" verticalCentered="1"/>
  <pageMargins left="0.5118110236220472" right="0.5905511811023623" top="0.52" bottom="0.43" header="0.1968503937007874" footer="0.2362204724409449"/>
  <pageSetup fitToHeight="1" fitToWidth="1" horizontalDpi="600" verticalDpi="600" orientation="landscape" paperSize="9" scale="69" r:id="rId1"/>
  <headerFooter alignWithMargins="0">
    <oddFooter>&amp;LLEL, Abt. II, Se&amp;C&amp;F&amp;A&amp;R&amp;D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VOKO SAU</dc:title>
  <dc:subject>Vollkosten in der Schweinehaltung</dc:subject>
  <dc:creator>Dr. Volker Segger</dc:creator>
  <cp:keywords>Wirtschaftlichkeit Schweine, Deckungsbeitrag Schweine, Vollkosten Schweine</cp:keywords>
  <dc:description/>
  <cp:lastModifiedBy>Segger, Volker (LEL)</cp:lastModifiedBy>
  <cp:lastPrinted>2016-10-04T11:41:24Z</cp:lastPrinted>
  <dcterms:created xsi:type="dcterms:W3CDTF">1998-09-25T13:08:28Z</dcterms:created>
  <dcterms:modified xsi:type="dcterms:W3CDTF">2016-10-04T11:46:24Z</dcterms:modified>
  <cp:category/>
  <cp:version/>
  <cp:contentType/>
  <cp:contentStatus/>
</cp:coreProperties>
</file>