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15" windowWidth="9690" windowHeight="5670" activeTab="0"/>
  </bookViews>
  <sheets>
    <sheet name="Seite 1 " sheetId="1" r:id="rId1"/>
    <sheet name="Seite 2" sheetId="2" r:id="rId2"/>
    <sheet name="Seite 3" sheetId="3" r:id="rId3"/>
    <sheet name="Folie 1" sheetId="4" r:id="rId4"/>
    <sheet name="Folie 2" sheetId="5" r:id="rId5"/>
    <sheet name="Dia" sheetId="6" r:id="rId6"/>
    <sheet name="Stammdaten" sheetId="7" r:id="rId7"/>
  </sheets>
  <externalReferences>
    <externalReference r:id="rId10"/>
  </externalReferences>
  <definedNames>
    <definedName name="_Order1" hidden="1">255</definedName>
    <definedName name="_Order2" hidden="1">255</definedName>
    <definedName name="_xlnm.Print_Area" localSheetId="3">'Folie 1'!$B$2:$K$33</definedName>
    <definedName name="_xlnm.Print_Area" localSheetId="4">'Folie 2'!$B$2:$K$29</definedName>
    <definedName name="_xlnm.Print_Area" localSheetId="0">'Seite 1 '!$B$2:$O$63</definedName>
    <definedName name="_xlnm.Print_Area" localSheetId="1">'Seite 2'!$B$2:$O$60</definedName>
    <definedName name="_xlnm.Print_Area" localSheetId="2">'Seite 3'!$B$2:$L$44</definedName>
    <definedName name="ZUIST">'Seite 3'!$B$11:$D$40</definedName>
    <definedName name="ZUSTÜCKIST">'Seite 3'!$B$11:$F$40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  <author>SeggerV</author>
  </authors>
  <commentList>
    <comment ref="I60" authorId="0">
      <text>
        <r>
          <rPr>
            <sz val="8"/>
            <rFont val="Tahoma"/>
            <family val="0"/>
          </rPr>
          <t>Wenn auf Seite 2 auf eine detaillierte Berechnung verzichtet wird, kann hier pauschal ein Wert eingegeben werden.</t>
        </r>
      </text>
    </comment>
    <comment ref="I52" authorId="1">
      <text>
        <r>
          <rPr>
            <sz val="8"/>
            <rFont val="Tahoma"/>
            <family val="0"/>
          </rPr>
          <t>Hier sind die Stunden von AK einzutragen, deren Einsatzumfang von der Zahl der gehaltenen Stuten abhängt. Dies ist in der Praxis die Ausnahme.</t>
        </r>
      </text>
    </comment>
  </commentList>
</comments>
</file>

<file path=xl/sharedStrings.xml><?xml version="1.0" encoding="utf-8"?>
<sst xmlns="http://schemas.openxmlformats.org/spreadsheetml/2006/main" count="333" uniqueCount="247">
  <si>
    <t>Vollkosten - Rechnung</t>
  </si>
  <si>
    <t>Bestandsgröße (St.)</t>
  </si>
  <si>
    <t xml:space="preserve">Umtriebe / Jahr </t>
  </si>
  <si>
    <t>dav.</t>
  </si>
  <si>
    <t>Hauptprodukt</t>
  </si>
  <si>
    <t>Nebenprodukt</t>
  </si>
  <si>
    <t xml:space="preserve"> Düngerwert insgesamt</t>
  </si>
  <si>
    <t xml:space="preserve">Ausscheidung    </t>
  </si>
  <si>
    <t xml:space="preserve">Verluste                       </t>
  </si>
  <si>
    <t xml:space="preserve">Nährstoff- </t>
  </si>
  <si>
    <t xml:space="preserve">Preis je kg                            </t>
  </si>
  <si>
    <t xml:space="preserve">Düngerwert                      </t>
  </si>
  <si>
    <t>kg / Einheit</t>
  </si>
  <si>
    <t xml:space="preserve"> in %</t>
  </si>
  <si>
    <t>anfall in kg</t>
  </si>
  <si>
    <t>Reinnährstoff</t>
  </si>
  <si>
    <t>N</t>
  </si>
  <si>
    <r>
      <t>P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5</t>
    </r>
  </si>
  <si>
    <r>
      <t>K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</si>
  <si>
    <t xml:space="preserve"> Verfahrensunabhängige Ausgleichsleistungen insgesamt</t>
  </si>
  <si>
    <t>GAP-Prämie Tierhaltung</t>
  </si>
  <si>
    <t>entgangene GAP-Prämie Fläche</t>
  </si>
  <si>
    <t xml:space="preserve"> Summe Leistungen </t>
  </si>
  <si>
    <t xml:space="preserve"> Bestandsergänzung</t>
  </si>
  <si>
    <t xml:space="preserve"> Aufzuchtkosten</t>
  </si>
  <si>
    <t>dt Futter</t>
  </si>
  <si>
    <t>Futterkosten</t>
  </si>
  <si>
    <t>Son.Kosten</t>
  </si>
  <si>
    <t>Menge</t>
  </si>
  <si>
    <t>Nährstoff- einheit:</t>
  </si>
  <si>
    <t>insgesamt</t>
  </si>
  <si>
    <t>Getreide</t>
  </si>
  <si>
    <t>Ergänzungsfutter</t>
  </si>
  <si>
    <t>Leckstein</t>
  </si>
  <si>
    <t>Mineralfutter</t>
  </si>
  <si>
    <t>Insgesamt</t>
  </si>
  <si>
    <t xml:space="preserve"> Sonstige Kosten insgesamt</t>
  </si>
  <si>
    <t>Verluste/Versichg., Tierseuchenkasse</t>
  </si>
  <si>
    <t>Energie, Wasser, Geräte, Hilfsmittel</t>
  </si>
  <si>
    <t xml:space="preserve"> Variable Lohnkosten</t>
  </si>
  <si>
    <t xml:space="preserve">nichtständige AKh </t>
  </si>
  <si>
    <t xml:space="preserve"> Zinsansatz</t>
  </si>
  <si>
    <t>Zinssatz ( i )</t>
  </si>
  <si>
    <t xml:space="preserve">dschn.Kap.bindung </t>
  </si>
  <si>
    <t xml:space="preserve"> Monate</t>
  </si>
  <si>
    <t xml:space="preserve"> Summe variable Kosten</t>
  </si>
  <si>
    <t xml:space="preserve"> Deckungsbeitrag ( DB )</t>
  </si>
  <si>
    <t xml:space="preserve"> Arbeitszeitbedarf  (der ständigen AK)</t>
  </si>
  <si>
    <t xml:space="preserve"> AKh/Einheit </t>
  </si>
  <si>
    <t xml:space="preserve"> Futteranspruch</t>
  </si>
  <si>
    <t xml:space="preserve"> Nährstoffbedarf insgesamt</t>
  </si>
  <si>
    <t>Kraftfutter</t>
  </si>
  <si>
    <t>Grundfutterverbrauch</t>
  </si>
  <si>
    <t xml:space="preserve"> % Verluste im Stall)</t>
  </si>
  <si>
    <t>dav. Winterfütterung</t>
  </si>
  <si>
    <t xml:space="preserve">Winterfuttertage </t>
  </si>
  <si>
    <t xml:space="preserve"> Arbeitszeitbedarf</t>
  </si>
  <si>
    <t>Z e i t s p a n n e</t>
  </si>
  <si>
    <t>insg. / Einheit</t>
  </si>
  <si>
    <t>Rest</t>
  </si>
  <si>
    <r>
      <t xml:space="preserve"> Sonderarbeiten </t>
    </r>
    <r>
      <rPr>
        <sz val="8"/>
        <rFont val="Arial"/>
        <family val="2"/>
      </rPr>
      <t>(</t>
    </r>
    <r>
      <rPr>
        <b/>
        <sz val="8"/>
        <rFont val="Arial"/>
        <family val="0"/>
      </rPr>
      <t>AKh</t>
    </r>
    <r>
      <rPr>
        <sz val="8"/>
        <rFont val="Arial"/>
        <family val="2"/>
      </rPr>
      <t xml:space="preserve">/Einheit) </t>
    </r>
  </si>
  <si>
    <r>
      <t xml:space="preserve"> AK</t>
    </r>
    <r>
      <rPr>
        <b/>
        <sz val="10"/>
        <rFont val="Arial"/>
        <family val="0"/>
      </rPr>
      <t>min</t>
    </r>
    <r>
      <rPr>
        <sz val="10"/>
        <rFont val="Arial"/>
        <family val="2"/>
      </rPr>
      <t xml:space="preserve"> je Einh. u. Tag insg.</t>
    </r>
  </si>
  <si>
    <t xml:space="preserve"> AKh je Einheit </t>
  </si>
  <si>
    <t>dav. nichtständ. AK (AKh)</t>
  </si>
  <si>
    <t>dav. ständige AK (AKh)</t>
  </si>
  <si>
    <t xml:space="preserve"> Sonstige Faktoransprüche</t>
  </si>
  <si>
    <t>Einheit</t>
  </si>
  <si>
    <t>Anzahl</t>
  </si>
  <si>
    <t xml:space="preserve"> Bemerkungen</t>
  </si>
  <si>
    <r>
      <t xml:space="preserve">  m</t>
    </r>
    <r>
      <rPr>
        <vertAlign val="superscript"/>
        <sz val="10"/>
        <color indexed="8"/>
        <rFont val="Arial"/>
        <family val="2"/>
      </rPr>
      <t>3</t>
    </r>
  </si>
  <si>
    <t>Silage</t>
  </si>
  <si>
    <t>Stroh und Heu</t>
  </si>
  <si>
    <t xml:space="preserve"> Vollkosten - Rechnung</t>
  </si>
  <si>
    <t xml:space="preserve"> Feste Maschinenkosten Tierhaltung</t>
  </si>
  <si>
    <t>Nutzungs-</t>
  </si>
  <si>
    <t>Anschaffungs-</t>
  </si>
  <si>
    <t>Jahreskosten</t>
  </si>
  <si>
    <t xml:space="preserve">Anteil (%) </t>
  </si>
  <si>
    <t xml:space="preserve"> Kosten insg.</t>
  </si>
  <si>
    <t>dauer ( J.)</t>
  </si>
  <si>
    <t>in (%)</t>
  </si>
  <si>
    <t>Betriebszweig</t>
  </si>
  <si>
    <t xml:space="preserve"> Futteranlage, -mischer</t>
  </si>
  <si>
    <t xml:space="preserve"> Dung- und Gülleausbringung</t>
  </si>
  <si>
    <t xml:space="preserve"> Futtervorlage </t>
  </si>
  <si>
    <t xml:space="preserve"> Feste Maschinenkosten insgesamt</t>
  </si>
  <si>
    <r>
      <t xml:space="preserve"> je Einheit        </t>
    </r>
    <r>
      <rPr>
        <sz val="10"/>
        <rFont val="Arial"/>
        <family val="2"/>
      </rPr>
      <t>Stück</t>
    </r>
  </si>
  <si>
    <t xml:space="preserve"> Feste Gebäudekosten Tierhaltung</t>
  </si>
  <si>
    <t xml:space="preserve"> Unterhaltung in %:</t>
  </si>
  <si>
    <r>
      <t xml:space="preserve"> Stall </t>
    </r>
    <r>
      <rPr>
        <sz val="8"/>
        <rFont val="Arial"/>
        <family val="2"/>
      </rPr>
      <t>(ohne masch. Einricht., s.o.)</t>
    </r>
  </si>
  <si>
    <t xml:space="preserve"> Stalleinrichtung, -technik</t>
  </si>
  <si>
    <t xml:space="preserve"> Dung-/ Güllelager</t>
  </si>
  <si>
    <t>Stall ( Umbau von Altgebäuden )</t>
  </si>
  <si>
    <t xml:space="preserve"> Feste Gebäudekosten insgesamt</t>
  </si>
  <si>
    <t xml:space="preserve"> Übertrag Summe Festkosten </t>
  </si>
  <si>
    <r>
      <t xml:space="preserve"> Arbeitskosten </t>
    </r>
    <r>
      <rPr>
        <sz val="11"/>
        <rFont val="Arial"/>
        <family val="0"/>
      </rPr>
      <t>( ständige AK )</t>
    </r>
  </si>
  <si>
    <t>AKh je Einheit</t>
  </si>
  <si>
    <t xml:space="preserve"> Jahr insgesamt</t>
  </si>
  <si>
    <t xml:space="preserve"> dav. AK 1</t>
  </si>
  <si>
    <t xml:space="preserve"> dav. AK 2</t>
  </si>
  <si>
    <t xml:space="preserve"> Sonstige feste Spezialkosten</t>
  </si>
  <si>
    <t xml:space="preserve"> Gemeinkosten</t>
  </si>
  <si>
    <t>Anteil (%) Betriebszweig</t>
  </si>
  <si>
    <r>
      <t xml:space="preserve"> Summe feste Spezial- u Gemeinkosten  </t>
    </r>
    <r>
      <rPr>
        <sz val="11"/>
        <rFont val="Arial"/>
        <family val="0"/>
      </rPr>
      <t>( inkl. Arbeit )</t>
    </r>
  </si>
  <si>
    <t xml:space="preserve"> Summe Kosten</t>
  </si>
  <si>
    <t xml:space="preserve"> Neben- und Ausgleichsleistungen</t>
  </si>
  <si>
    <t xml:space="preserve"> Verwertung der ... </t>
  </si>
  <si>
    <t xml:space="preserve">AKh / Einheit </t>
  </si>
  <si>
    <t xml:space="preserve"> ... Gebäude</t>
  </si>
  <si>
    <t xml:space="preserve">Jahreskosten in % </t>
  </si>
  <si>
    <t xml:space="preserve"> = Verwertung der Arbeit bei fehlender Nutzungsalternative d. Gebäude</t>
  </si>
  <si>
    <t xml:space="preserve"> Vollkosten-Rechnung</t>
  </si>
  <si>
    <t xml:space="preserve"> Hauptprodukt</t>
  </si>
  <si>
    <t xml:space="preserve"> Erlös :</t>
  </si>
  <si>
    <t>Verfahrensunabh. Ausgl.leistungen</t>
  </si>
  <si>
    <t xml:space="preserve"> Summe Leistungen</t>
  </si>
  <si>
    <t xml:space="preserve"> Summe variable Kosten </t>
  </si>
  <si>
    <t>Feste Maschinenkosten Tierhaltung</t>
  </si>
  <si>
    <t>Feste Gebäudekosten Tierhaltung</t>
  </si>
  <si>
    <t>Kosten Milchquote</t>
  </si>
  <si>
    <t>Sonstige Fest- u. Gemeinkosten</t>
  </si>
  <si>
    <t xml:space="preserve"> Summe weitere Kosten</t>
  </si>
  <si>
    <t>Erlös :</t>
  </si>
  <si>
    <r>
      <t xml:space="preserve">Langfristige Betrachtung </t>
    </r>
    <r>
      <rPr>
        <sz val="18"/>
        <rFont val="Arial"/>
        <family val="0"/>
      </rPr>
      <t>( alle Kosten abgedeckt )</t>
    </r>
  </si>
  <si>
    <t>Verwertung der Gebäude</t>
  </si>
  <si>
    <t>Max.  Jahreskosten  Milchquote</t>
  </si>
  <si>
    <r>
      <t xml:space="preserve">Mittelfristige Betrachtung  </t>
    </r>
    <r>
      <rPr>
        <sz val="18"/>
        <rFont val="Arial"/>
        <family val="0"/>
      </rPr>
      <t>( ohne Gebäudekosten )</t>
    </r>
  </si>
  <si>
    <t>Max. Jahreskosten Milchquote</t>
  </si>
  <si>
    <r>
      <t xml:space="preserve">Kurzfrist. Betrachtung </t>
    </r>
    <r>
      <rPr>
        <sz val="18"/>
        <rFont val="Arial"/>
        <family val="0"/>
      </rPr>
      <t>( ohne Gebäude- u. Arbeitskosten )</t>
    </r>
  </si>
  <si>
    <t>Hauptleistung</t>
  </si>
  <si>
    <t>Milch</t>
  </si>
  <si>
    <t xml:space="preserve"> kg</t>
  </si>
  <si>
    <t>Kalb</t>
  </si>
  <si>
    <t xml:space="preserve"> Stück</t>
  </si>
  <si>
    <t>Kalbin</t>
  </si>
  <si>
    <t>Fleisch - Lebendgew.</t>
  </si>
  <si>
    <t xml:space="preserve"> kg LG</t>
  </si>
  <si>
    <t>Fleisch - Schlachtgew.</t>
  </si>
  <si>
    <t xml:space="preserve"> kg SG</t>
  </si>
  <si>
    <t>Ferkel</t>
  </si>
  <si>
    <t>Jungsau</t>
  </si>
  <si>
    <t>Absatzfohlen</t>
  </si>
  <si>
    <t>Reitpferd</t>
  </si>
  <si>
    <t>Lamm</t>
  </si>
  <si>
    <t>Eier</t>
  </si>
  <si>
    <t>Küken/Junghennen</t>
  </si>
  <si>
    <t>Masthähnchen</t>
  </si>
  <si>
    <t>Mastputen</t>
  </si>
  <si>
    <t>Mastgänse</t>
  </si>
  <si>
    <t>Mastenten</t>
  </si>
  <si>
    <t>Felle / Pelztiere</t>
  </si>
  <si>
    <t>Honig</t>
  </si>
  <si>
    <t>Miete</t>
  </si>
  <si>
    <t xml:space="preserve"> Mon.</t>
  </si>
  <si>
    <t>Nährstoffeinheit</t>
  </si>
  <si>
    <t>KSTE</t>
  </si>
  <si>
    <t>MJ NEL</t>
  </si>
  <si>
    <t>10 MJ NEL</t>
  </si>
  <si>
    <t>MJ ME</t>
  </si>
  <si>
    <t>10 MJ ME</t>
  </si>
  <si>
    <t xml:space="preserve"> € / kg</t>
  </si>
  <si>
    <t xml:space="preserve"> €/Stück</t>
  </si>
  <si>
    <t xml:space="preserve"> € / kg LG</t>
  </si>
  <si>
    <t xml:space="preserve"> € / kg SG</t>
  </si>
  <si>
    <t xml:space="preserve"> €/Mon.</t>
  </si>
  <si>
    <t xml:space="preserve"> € / AKh</t>
  </si>
  <si>
    <t xml:space="preserve">€ / AKh </t>
  </si>
  <si>
    <t>€/AKh</t>
  </si>
  <si>
    <t>€/Einheit</t>
  </si>
  <si>
    <t>Betrieb insgesamt (€)</t>
  </si>
  <si>
    <t xml:space="preserve"> € / Akh </t>
  </si>
  <si>
    <t>wert (€)</t>
  </si>
  <si>
    <t xml:space="preserve">€/AKh </t>
  </si>
  <si>
    <t xml:space="preserve"> €</t>
  </si>
  <si>
    <t>€/  Einheit</t>
  </si>
  <si>
    <t>€/dt</t>
  </si>
  <si>
    <t>Jauchegrube</t>
  </si>
  <si>
    <t>Kostendeckender Erlös</t>
  </si>
  <si>
    <t xml:space="preserve"> Kalkulatorisches Betriebszweigergebnis</t>
  </si>
  <si>
    <t>€ / Stute</t>
  </si>
  <si>
    <t>Vermarktungskosten</t>
  </si>
  <si>
    <t>unter Anrechnung eines Lohnansatzes</t>
  </si>
  <si>
    <t xml:space="preserve"> Sonstige variable Kosten</t>
  </si>
  <si>
    <r>
      <t xml:space="preserve">Kostendeckender Erlös </t>
    </r>
    <r>
      <rPr>
        <b/>
        <sz val="16"/>
        <rFont val="Arial"/>
        <family val="2"/>
      </rPr>
      <t xml:space="preserve">       ( Kosten abzgl. Nebenleistungen)</t>
    </r>
  </si>
  <si>
    <t>€/ Stute</t>
  </si>
  <si>
    <t>€/Stck.</t>
  </si>
  <si>
    <t>€ je Stute</t>
  </si>
  <si>
    <t xml:space="preserve"> Deckungsbeitrag </t>
  </si>
  <si>
    <t>Weide</t>
  </si>
  <si>
    <t>Max. Investitionskosten (bei Neubau)</t>
  </si>
  <si>
    <t>Tierarzt, Medikamente, Hufschmied</t>
  </si>
  <si>
    <t>variable Maschinenkosten (z.B. Mistentsorgung)</t>
  </si>
  <si>
    <t>Stall</t>
  </si>
  <si>
    <t xml:space="preserve"> Futter insgesamt</t>
  </si>
  <si>
    <t>Erg.futter Laktation</t>
  </si>
  <si>
    <t>Fohlenaufzuchtfutter</t>
  </si>
  <si>
    <t>Heu</t>
  </si>
  <si>
    <r>
      <t xml:space="preserve"> je Einheit     </t>
    </r>
    <r>
      <rPr>
        <sz val="10"/>
        <rFont val="Arial"/>
        <family val="2"/>
      </rPr>
      <t>Stück</t>
    </r>
  </si>
  <si>
    <t xml:space="preserve"> € / Fohlen</t>
  </si>
  <si>
    <t>Bei Pauschalierung der Umsatzsteuer alle Werte brutto, bei Regelbesteuerung alle Werte netto eingeben.</t>
  </si>
  <si>
    <r>
      <t xml:space="preserve"> AK</t>
    </r>
    <r>
      <rPr>
        <b/>
        <sz val="10"/>
        <rFont val="Arial"/>
        <family val="0"/>
      </rPr>
      <t xml:space="preserve">min </t>
    </r>
    <r>
      <rPr>
        <sz val="10"/>
        <rFont val="Arial"/>
        <family val="2"/>
      </rPr>
      <t>je Einheit und Tag (Routine)</t>
    </r>
  </si>
  <si>
    <t>Summe Kosten</t>
  </si>
  <si>
    <t xml:space="preserve"> Futter</t>
  </si>
  <si>
    <t xml:space="preserve"> Stroh- und Heulager</t>
  </si>
  <si>
    <t>Betriebsleiter</t>
  </si>
  <si>
    <t xml:space="preserve">Anteilige Kosten Hänger </t>
  </si>
  <si>
    <t>mit Arbeitskosten der ständigen AK</t>
  </si>
  <si>
    <t>ohne Arbeitskosten der ständigen AK</t>
  </si>
  <si>
    <t>mit Anrechnung von Arbeitskosten der ständigen AK</t>
  </si>
  <si>
    <r>
      <t>ohne</t>
    </r>
    <r>
      <rPr>
        <sz val="16"/>
        <rFont val="Arial"/>
        <family val="2"/>
      </rPr>
      <t xml:space="preserve"> Anrechnung von Arbeitskosten der ständigen AK</t>
    </r>
  </si>
  <si>
    <t>Verwertung der Arbeit der ständigen AK</t>
  </si>
  <si>
    <t>Arbeitskosten der ständigen AK</t>
  </si>
  <si>
    <t xml:space="preserve"> Marktleistungen</t>
  </si>
  <si>
    <t xml:space="preserve"> Lagerraum </t>
  </si>
  <si>
    <t xml:space="preserve"> Stallplatz</t>
  </si>
  <si>
    <r>
      <t>m</t>
    </r>
    <r>
      <rPr>
        <vertAlign val="superscript"/>
        <sz val="10"/>
        <color indexed="8"/>
        <rFont val="Arial"/>
        <family val="2"/>
      </rPr>
      <t>2</t>
    </r>
  </si>
  <si>
    <t xml:space="preserve"> Festmistlager (6 Monate)</t>
  </si>
  <si>
    <t xml:space="preserve"> Zinsansatz ( i / 2 ) in %:</t>
  </si>
  <si>
    <t xml:space="preserve"> Anteilige Schlepper</t>
  </si>
  <si>
    <t>ständige Lohn-AK</t>
  </si>
  <si>
    <t xml:space="preserve">durchschnittl. Vieh- und Umlaufvermögen </t>
  </si>
  <si>
    <t xml:space="preserve"> max. Investitionskosten je Platz</t>
  </si>
  <si>
    <t xml:space="preserve"> ... Arbeit der ständigen AK</t>
  </si>
  <si>
    <t xml:space="preserve"> ... Gebäude und Arbeit der ständigen AK</t>
  </si>
  <si>
    <t>Nebenleistungen incl. Düngerwert</t>
  </si>
  <si>
    <t>MJ DE</t>
  </si>
  <si>
    <t>10 MJ DE</t>
  </si>
  <si>
    <t>Stck.</t>
  </si>
  <si>
    <t xml:space="preserve"> (Feld-)Arbeitstage/Jahr </t>
  </si>
  <si>
    <t xml:space="preserve"> - Produktionsverfahren Fohlenaufzucht -</t>
  </si>
  <si>
    <t>Fohlenaufzucht 6 bis 36 Mon.</t>
  </si>
  <si>
    <t>Aufzuchtdauer (Mon.)</t>
  </si>
  <si>
    <t>Fohlen, 6 Mon.</t>
  </si>
  <si>
    <t>dt</t>
  </si>
  <si>
    <t>€ / dt</t>
  </si>
  <si>
    <t>je dt</t>
  </si>
  <si>
    <t>Stroh : 40 dt x 6,-</t>
  </si>
  <si>
    <t>Deckgeld, ZV-Beitrag</t>
  </si>
  <si>
    <t>Aufzuchtdauer (Monate)</t>
  </si>
  <si>
    <t>€ je Einheit</t>
  </si>
  <si>
    <t>€ je Jungpferd</t>
  </si>
  <si>
    <t>Jungpferd</t>
  </si>
  <si>
    <t>Gras (Weide)</t>
  </si>
  <si>
    <t xml:space="preserve">Erzeugte Tiere /J.  </t>
  </si>
  <si>
    <t>Kalkulatorisches Betriebszweigergebnis beim obigen Jungpferdepreis</t>
  </si>
  <si>
    <t>€ / Jungpferd</t>
  </si>
  <si>
    <t xml:space="preserve"> € / Jungpferd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</si>
</sst>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\-0.0"/>
    <numFmt numFmtId="174" formatCode="\-0"/>
    <numFmt numFmtId="175" formatCode="0.0000000000000000\1"/>
    <numFmt numFmtId="176" formatCode="#,##0.0"/>
    <numFmt numFmtId="177" formatCode="_-* #,##0.0\ _D_M_-;\-* #,##0.0\ _D_M_-;_-* &quot;-&quot;??\ _D_M_-;_-@_-"/>
    <numFmt numFmtId="178" formatCode="_-* #,##0\ _D_M_-;\-* #,##0\ _D_M_-;_-* &quot;-&quot;??\ _D_M_-;_-@_-"/>
    <numFmt numFmtId="179" formatCode="0.000"/>
    <numFmt numFmtId="180" formatCode="0.0000"/>
    <numFmt numFmtId="181" formatCode="0.00000"/>
    <numFmt numFmtId="182" formatCode="#,##0;\-#,##0"/>
    <numFmt numFmtId="183" formatCode="#,##0;[Red]\-#,##0"/>
    <numFmt numFmtId="184" formatCode="#,##0.00;\-#,##0.00"/>
    <numFmt numFmtId="185" formatCode="#,##0.00;[Red]\-#,##0.00"/>
    <numFmt numFmtId="186" formatCode="#,##0&quot; DM&quot;;\-#,##0&quot; DM&quot;"/>
    <numFmt numFmtId="187" formatCode="#,##0&quot; DM&quot;;[Red]\-#,##0&quot; DM&quot;"/>
    <numFmt numFmtId="188" formatCode="#,##0.00&quot; DM&quot;;\-#,##0.00&quot; DM&quot;"/>
    <numFmt numFmtId="189" formatCode="#,##0.00&quot; DM&quot;;[Red]\-#,##0.00&quot; DM&quot;"/>
    <numFmt numFmtId="190" formatCode="d/m/yy"/>
    <numFmt numFmtId="191" formatCode="d/\ mmm\ yy"/>
    <numFmt numFmtId="192" formatCode="d/\ mmm"/>
    <numFmt numFmtId="193" formatCode="h:mm"/>
    <numFmt numFmtId="194" formatCode="h:mm:ss"/>
    <numFmt numFmtId="195" formatCode="d/m/yy\ h:mm"/>
    <numFmt numFmtId="196" formatCode="General_)"/>
    <numFmt numFmtId="197" formatCode="#,##0_);\(#,##0\)"/>
    <numFmt numFmtId="198" formatCode="#,##0.0_);\(#,##0.0\)"/>
    <numFmt numFmtId="199" formatCode="#,##0.00_);\(#,##0.00\)"/>
    <numFmt numFmtId="200" formatCode="0.00_)"/>
    <numFmt numFmtId="201" formatCode="0_)"/>
    <numFmt numFmtId="202" formatCode="0.0_)"/>
    <numFmt numFmtId="203" formatCode="#,##0.000"/>
    <numFmt numFmtId="204" formatCode="#,##0&quot; AKh&quot;;\-#,##0&quot; AKh&quot;"/>
    <numFmt numFmtId="205" formatCode="\-0.00"/>
    <numFmt numFmtId="206" formatCode="\-0.000"/>
    <numFmt numFmtId="207" formatCode="\-0,000"/>
    <numFmt numFmtId="208" formatCode="\-#,##0"/>
    <numFmt numFmtId="209" formatCode="#,##0.0000"/>
    <numFmt numFmtId="210" formatCode="#,##0.00000"/>
    <numFmt numFmtId="211" formatCode="#,##0.000000"/>
    <numFmt numFmtId="212" formatCode="#,##0.0000000"/>
    <numFmt numFmtId="213" formatCode="#,##0.00000000"/>
    <numFmt numFmtId="214" formatCode="#,##0.000000000"/>
    <numFmt numFmtId="215" formatCode="#0%"/>
    <numFmt numFmtId="216" formatCode="0.0\ _%"/>
    <numFmt numFmtId="217" formatCode="#,##0\ ;[Red]\-#,##0\ "/>
    <numFmt numFmtId="218" formatCode="0.00_%"/>
    <numFmt numFmtId="219" formatCode="0.00\ &quot;%&quot;"/>
    <numFmt numFmtId="220" formatCode="#,##0.0;[Red]\-#,##0.0"/>
    <numFmt numFmtId="221" formatCode="#,##0_ ;[Red]\-#,##0\ "/>
    <numFmt numFmtId="222" formatCode="#,##0.00_ ;[Red]\-#,##0.00\ "/>
    <numFmt numFmtId="223" formatCode="#,##0\ [$€-1]"/>
    <numFmt numFmtId="224" formatCode="#,##0.00\ &quot;€&quot;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b/>
      <sz val="9"/>
      <color indexed="1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22"/>
      <name val="Arial"/>
      <family val="2"/>
    </font>
    <font>
      <b/>
      <sz val="22"/>
      <name val="Arial"/>
      <family val="0"/>
    </font>
    <font>
      <b/>
      <sz val="20"/>
      <name val="Arial"/>
      <family val="0"/>
    </font>
    <font>
      <b/>
      <sz val="18"/>
      <name val="Arial"/>
      <family val="0"/>
    </font>
    <font>
      <i/>
      <sz val="2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0"/>
    </font>
    <font>
      <vertAlign val="subscript"/>
      <sz val="10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helv"/>
      <family val="0"/>
    </font>
    <font>
      <vertAlign val="superscript"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0"/>
    </font>
    <font>
      <i/>
      <sz val="18"/>
      <name val="Arial"/>
      <family val="2"/>
    </font>
    <font>
      <b/>
      <i/>
      <sz val="18"/>
      <name val="Arial"/>
      <family val="0"/>
    </font>
    <font>
      <b/>
      <sz val="18"/>
      <color indexed="8"/>
      <name val="Arial"/>
      <family val="2"/>
    </font>
    <font>
      <b/>
      <sz val="22"/>
      <color indexed="8"/>
      <name val="Arial"/>
      <family val="2"/>
    </font>
    <font>
      <sz val="8"/>
      <name val="Tahoma"/>
      <family val="2"/>
    </font>
    <font>
      <b/>
      <i/>
      <sz val="2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bgColor indexed="22"/>
      </patternFill>
    </fill>
    <fill>
      <patternFill patternType="solid">
        <fgColor indexed="42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double"/>
      <bottom style="double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 style="double"/>
      <bottom style="hair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double"/>
      <bottom style="hair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0" fillId="0" borderId="0" xfId="19" applyFont="1" applyAlignment="1" applyProtection="1">
      <alignment vertical="center"/>
      <protection locked="0"/>
    </xf>
    <xf numFmtId="0" fontId="21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17" fillId="0" borderId="0" xfId="20" applyProtection="1">
      <alignment/>
      <protection/>
    </xf>
    <xf numFmtId="0" fontId="20" fillId="0" borderId="0" xfId="19" applyFont="1" applyAlignment="1" applyProtection="1">
      <alignment horizontal="left" vertical="center"/>
      <protection/>
    </xf>
    <xf numFmtId="0" fontId="20" fillId="2" borderId="0" xfId="19" applyFont="1" applyFill="1" applyBorder="1" applyAlignment="1" applyProtection="1">
      <alignment vertical="center"/>
      <protection/>
    </xf>
    <xf numFmtId="0" fontId="20" fillId="0" borderId="0" xfId="19" applyFont="1" applyAlignment="1" applyProtection="1">
      <alignment horizontal="right" vertical="center"/>
      <protection/>
    </xf>
    <xf numFmtId="0" fontId="20" fillId="2" borderId="0" xfId="19" applyFont="1" applyFill="1" applyBorder="1" applyAlignment="1" applyProtection="1">
      <alignment horizontal="right" vertical="center"/>
      <protection/>
    </xf>
    <xf numFmtId="0" fontId="24" fillId="0" borderId="0" xfId="19" applyFont="1" applyAlignment="1" applyProtection="1">
      <alignment horizontal="left" vertical="center"/>
      <protection/>
    </xf>
    <xf numFmtId="1" fontId="25" fillId="2" borderId="0" xfId="19" applyNumberFormat="1" applyFont="1" applyFill="1" applyBorder="1" applyAlignment="1" applyProtection="1">
      <alignment horizontal="centerContinuous" vertical="center"/>
      <protection/>
    </xf>
    <xf numFmtId="0" fontId="20" fillId="0" borderId="0" xfId="19" applyFont="1" applyAlignment="1" applyProtection="1">
      <alignment horizontal="center" vertical="center"/>
      <protection/>
    </xf>
    <xf numFmtId="0" fontId="25" fillId="3" borderId="2" xfId="19" applyFont="1" applyFill="1" applyBorder="1" applyAlignment="1" applyProtection="1">
      <alignment horizontal="centerContinuous" vertical="center"/>
      <protection locked="0"/>
    </xf>
    <xf numFmtId="3" fontId="25" fillId="2" borderId="3" xfId="19" applyNumberFormat="1" applyFont="1" applyFill="1" applyBorder="1" applyAlignment="1" applyProtection="1">
      <alignment horizontal="center" vertical="center"/>
      <protection/>
    </xf>
    <xf numFmtId="3" fontId="25" fillId="0" borderId="4" xfId="19" applyNumberFormat="1" applyFont="1" applyBorder="1" applyAlignment="1" applyProtection="1">
      <alignment horizontal="center" vertical="center" wrapText="1"/>
      <protection/>
    </xf>
    <xf numFmtId="0" fontId="25" fillId="0" borderId="0" xfId="19" applyFont="1" applyAlignment="1" applyProtection="1">
      <alignment horizontal="center" vertical="center"/>
      <protection/>
    </xf>
    <xf numFmtId="0" fontId="25" fillId="0" borderId="2" xfId="20" applyFont="1" applyBorder="1" applyAlignment="1" applyProtection="1">
      <alignment horizontal="center" vertical="center" wrapText="1"/>
      <protection/>
    </xf>
    <xf numFmtId="0" fontId="22" fillId="0" borderId="0" xfId="19" applyFont="1" applyAlignment="1" applyProtection="1">
      <alignment vertical="center"/>
      <protection/>
    </xf>
    <xf numFmtId="0" fontId="22" fillId="2" borderId="1" xfId="19" applyFont="1" applyFill="1" applyBorder="1" applyAlignment="1" applyProtection="1">
      <alignment vertical="center"/>
      <protection/>
    </xf>
    <xf numFmtId="0" fontId="20" fillId="0" borderId="1" xfId="19" applyFont="1" applyBorder="1" applyAlignment="1" applyProtection="1">
      <alignment vertical="center"/>
      <protection/>
    </xf>
    <xf numFmtId="0" fontId="20" fillId="2" borderId="1" xfId="19" applyFont="1" applyFill="1" applyBorder="1" applyAlignment="1" applyProtection="1">
      <alignment vertical="center"/>
      <protection/>
    </xf>
    <xf numFmtId="0" fontId="27" fillId="0" borderId="5" xfId="19" applyFont="1" applyBorder="1" applyAlignment="1" applyProtection="1">
      <alignment horizontal="right" vertical="center"/>
      <protection/>
    </xf>
    <xf numFmtId="0" fontId="28" fillId="0" borderId="0" xfId="19" applyFont="1" applyBorder="1" applyAlignment="1" applyProtection="1">
      <alignment vertical="center"/>
      <protection/>
    </xf>
    <xf numFmtId="3" fontId="22" fillId="0" borderId="2" xfId="19" applyNumberFormat="1" applyFont="1" applyBorder="1" applyAlignment="1" applyProtection="1">
      <alignment horizontal="center" vertical="center"/>
      <protection/>
    </xf>
    <xf numFmtId="0" fontId="25" fillId="0" borderId="6" xfId="19" applyFont="1" applyBorder="1" applyAlignment="1" applyProtection="1">
      <alignment vertical="center"/>
      <protection/>
    </xf>
    <xf numFmtId="0" fontId="20" fillId="0" borderId="6" xfId="19" applyFont="1" applyBorder="1" applyAlignment="1" applyProtection="1">
      <alignment vertical="center"/>
      <protection/>
    </xf>
    <xf numFmtId="0" fontId="20" fillId="0" borderId="7" xfId="19" applyFont="1" applyBorder="1" applyAlignment="1" applyProtection="1">
      <alignment vertical="center"/>
      <protection/>
    </xf>
    <xf numFmtId="3" fontId="20" fillId="0" borderId="8" xfId="19" applyNumberFormat="1" applyFont="1" applyBorder="1" applyAlignment="1" applyProtection="1">
      <alignment vertical="center"/>
      <protection/>
    </xf>
    <xf numFmtId="0" fontId="20" fillId="0" borderId="0" xfId="19" applyFont="1" applyBorder="1" applyAlignment="1" applyProtection="1">
      <alignment vertical="center"/>
      <protection/>
    </xf>
    <xf numFmtId="0" fontId="20" fillId="0" borderId="9" xfId="19" applyFont="1" applyBorder="1" applyAlignment="1" applyProtection="1">
      <alignment vertical="center"/>
      <protection/>
    </xf>
    <xf numFmtId="0" fontId="20" fillId="0" borderId="10" xfId="19" applyFont="1" applyBorder="1" applyAlignment="1" applyProtection="1">
      <alignment vertical="center"/>
      <protection/>
    </xf>
    <xf numFmtId="0" fontId="20" fillId="3" borderId="11" xfId="19" applyFont="1" applyFill="1" applyBorder="1" applyAlignment="1" applyProtection="1">
      <alignment vertical="center"/>
      <protection locked="0"/>
    </xf>
    <xf numFmtId="4" fontId="20" fillId="3" borderId="12" xfId="19" applyNumberFormat="1" applyFont="1" applyFill="1" applyBorder="1" applyAlignment="1" applyProtection="1">
      <alignment vertical="center"/>
      <protection locked="0"/>
    </xf>
    <xf numFmtId="2" fontId="20" fillId="3" borderId="11" xfId="19" applyNumberFormat="1" applyFont="1" applyFill="1" applyBorder="1" applyAlignment="1" applyProtection="1">
      <alignment vertical="center"/>
      <protection locked="0"/>
    </xf>
    <xf numFmtId="3" fontId="20" fillId="0" borderId="13" xfId="19" applyNumberFormat="1" applyFont="1" applyBorder="1" applyAlignment="1" applyProtection="1">
      <alignment vertical="center"/>
      <protection/>
    </xf>
    <xf numFmtId="0" fontId="20" fillId="0" borderId="11" xfId="19" applyFont="1" applyBorder="1" applyAlignment="1" applyProtection="1">
      <alignment vertical="center"/>
      <protection/>
    </xf>
    <xf numFmtId="0" fontId="20" fillId="3" borderId="10" xfId="19" applyFont="1" applyFill="1" applyBorder="1" applyAlignment="1" applyProtection="1">
      <alignment vertical="center"/>
      <protection locked="0"/>
    </xf>
    <xf numFmtId="4" fontId="20" fillId="3" borderId="14" xfId="19" applyNumberFormat="1" applyFont="1" applyFill="1" applyBorder="1" applyAlignment="1" applyProtection="1">
      <alignment vertical="center"/>
      <protection locked="0"/>
    </xf>
    <xf numFmtId="2" fontId="20" fillId="3" borderId="10" xfId="19" applyNumberFormat="1" applyFont="1" applyFill="1" applyBorder="1" applyAlignment="1" applyProtection="1">
      <alignment vertical="center"/>
      <protection locked="0"/>
    </xf>
    <xf numFmtId="3" fontId="20" fillId="0" borderId="15" xfId="19" applyNumberFormat="1" applyFont="1" applyBorder="1" applyAlignment="1" applyProtection="1">
      <alignment vertical="center"/>
      <protection/>
    </xf>
    <xf numFmtId="0" fontId="22" fillId="2" borderId="9" xfId="19" applyFont="1" applyFill="1" applyBorder="1" applyAlignment="1" applyProtection="1">
      <alignment vertical="center"/>
      <protection/>
    </xf>
    <xf numFmtId="0" fontId="25" fillId="2" borderId="9" xfId="19" applyFont="1" applyFill="1" applyBorder="1" applyAlignment="1" applyProtection="1">
      <alignment vertical="center"/>
      <protection/>
    </xf>
    <xf numFmtId="3" fontId="22" fillId="2" borderId="2" xfId="19" applyNumberFormat="1" applyFont="1" applyFill="1" applyBorder="1" applyAlignment="1" applyProtection="1">
      <alignment horizontal="center" vertical="center"/>
      <protection/>
    </xf>
    <xf numFmtId="0" fontId="20" fillId="0" borderId="9" xfId="19" applyFont="1" applyBorder="1" applyAlignment="1" applyProtection="1">
      <alignment vertical="center"/>
      <protection/>
    </xf>
    <xf numFmtId="0" fontId="20" fillId="2" borderId="9" xfId="19" applyFont="1" applyFill="1" applyBorder="1" applyAlignment="1" applyProtection="1">
      <alignment vertical="center"/>
      <protection/>
    </xf>
    <xf numFmtId="172" fontId="20" fillId="3" borderId="16" xfId="19" applyNumberFormat="1" applyFont="1" applyFill="1" applyBorder="1" applyAlignment="1" applyProtection="1">
      <alignment vertical="center"/>
      <protection locked="0"/>
    </xf>
    <xf numFmtId="1" fontId="20" fillId="3" borderId="16" xfId="19" applyNumberFormat="1" applyFont="1" applyFill="1" applyBorder="1" applyAlignment="1" applyProtection="1">
      <alignment vertical="center"/>
      <protection locked="0"/>
    </xf>
    <xf numFmtId="172" fontId="20" fillId="2" borderId="17" xfId="19" applyNumberFormat="1" applyFont="1" applyFill="1" applyBorder="1" applyAlignment="1" applyProtection="1">
      <alignment vertical="center"/>
      <protection/>
    </xf>
    <xf numFmtId="2" fontId="20" fillId="3" borderId="9" xfId="19" applyNumberFormat="1" applyFont="1" applyFill="1" applyBorder="1" applyAlignment="1" applyProtection="1">
      <alignment vertical="center"/>
      <protection locked="0"/>
    </xf>
    <xf numFmtId="2" fontId="20" fillId="0" borderId="18" xfId="19" applyNumberFormat="1" applyFont="1" applyBorder="1" applyAlignment="1" applyProtection="1">
      <alignment vertical="center"/>
      <protection/>
    </xf>
    <xf numFmtId="0" fontId="20" fillId="3" borderId="9" xfId="19" applyFont="1" applyFill="1" applyBorder="1" applyAlignment="1" applyProtection="1">
      <alignment vertical="center"/>
      <protection locked="0"/>
    </xf>
    <xf numFmtId="0" fontId="20" fillId="3" borderId="0" xfId="19" applyFont="1" applyFill="1" applyBorder="1" applyAlignment="1" applyProtection="1">
      <alignment vertical="center"/>
      <protection locked="0"/>
    </xf>
    <xf numFmtId="0" fontId="22" fillId="0" borderId="1" xfId="19" applyFont="1" applyBorder="1" applyAlignment="1" applyProtection="1">
      <alignment vertical="center"/>
      <protection/>
    </xf>
    <xf numFmtId="0" fontId="25" fillId="0" borderId="1" xfId="19" applyFont="1" applyBorder="1" applyAlignment="1" applyProtection="1">
      <alignment vertical="center"/>
      <protection/>
    </xf>
    <xf numFmtId="0" fontId="25" fillId="2" borderId="1" xfId="19" applyFont="1" applyFill="1" applyBorder="1" applyAlignment="1" applyProtection="1">
      <alignment vertical="center"/>
      <protection/>
    </xf>
    <xf numFmtId="0" fontId="27" fillId="0" borderId="5" xfId="19" applyFont="1" applyBorder="1" applyAlignment="1" applyProtection="1">
      <alignment horizontal="right" vertical="center"/>
      <protection/>
    </xf>
    <xf numFmtId="3" fontId="20" fillId="0" borderId="0" xfId="19" applyNumberFormat="1" applyFont="1" applyAlignment="1" applyProtection="1">
      <alignment vertical="center"/>
      <protection/>
    </xf>
    <xf numFmtId="0" fontId="20" fillId="3" borderId="16" xfId="19" applyFont="1" applyFill="1" applyBorder="1" applyAlignment="1" applyProtection="1">
      <alignment vertical="center"/>
      <protection locked="0"/>
    </xf>
    <xf numFmtId="0" fontId="20" fillId="0" borderId="19" xfId="19" applyFont="1" applyBorder="1" applyAlignment="1" applyProtection="1">
      <alignment vertical="center"/>
      <protection/>
    </xf>
    <xf numFmtId="0" fontId="20" fillId="3" borderId="19" xfId="19" applyFont="1" applyFill="1" applyBorder="1" applyAlignment="1" applyProtection="1">
      <alignment vertical="center"/>
      <protection locked="0"/>
    </xf>
    <xf numFmtId="0" fontId="20" fillId="3" borderId="20" xfId="19" applyFont="1" applyFill="1" applyBorder="1" applyAlignment="1" applyProtection="1">
      <alignment vertical="center"/>
      <protection locked="0"/>
    </xf>
    <xf numFmtId="3" fontId="20" fillId="3" borderId="21" xfId="19" applyNumberFormat="1" applyFont="1" applyFill="1" applyBorder="1" applyAlignment="1" applyProtection="1">
      <alignment vertical="center"/>
      <protection locked="0"/>
    </xf>
    <xf numFmtId="0" fontId="25" fillId="0" borderId="0" xfId="19" applyFont="1" applyBorder="1" applyAlignment="1" applyProtection="1">
      <alignment vertical="center"/>
      <protection/>
    </xf>
    <xf numFmtId="3" fontId="20" fillId="0" borderId="0" xfId="19" applyNumberFormat="1" applyFont="1" applyBorder="1" applyAlignment="1" applyProtection="1">
      <alignment vertical="center"/>
      <protection/>
    </xf>
    <xf numFmtId="0" fontId="23" fillId="2" borderId="1" xfId="19" applyFont="1" applyFill="1" applyBorder="1" applyAlignment="1" applyProtection="1">
      <alignment vertical="center"/>
      <protection/>
    </xf>
    <xf numFmtId="3" fontId="23" fillId="0" borderId="22" xfId="19" applyNumberFormat="1" applyFont="1" applyBorder="1" applyAlignment="1" applyProtection="1">
      <alignment horizontal="center" vertical="center"/>
      <protection/>
    </xf>
    <xf numFmtId="0" fontId="20" fillId="0" borderId="1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2" fillId="2" borderId="6" xfId="19" applyFont="1" applyFill="1" applyBorder="1" applyAlignment="1" applyProtection="1">
      <alignment vertical="center"/>
      <protection/>
    </xf>
    <xf numFmtId="0" fontId="25" fillId="2" borderId="6" xfId="19" applyFont="1" applyFill="1" applyBorder="1" applyAlignment="1" applyProtection="1">
      <alignment vertical="center"/>
      <protection/>
    </xf>
    <xf numFmtId="0" fontId="20" fillId="0" borderId="6" xfId="19" applyFont="1" applyBorder="1" applyAlignment="1" applyProtection="1">
      <alignment vertical="center"/>
      <protection/>
    </xf>
    <xf numFmtId="0" fontId="29" fillId="0" borderId="6" xfId="19" applyFont="1" applyBorder="1" applyAlignment="1" applyProtection="1">
      <alignment horizontal="centerContinuous" vertical="center"/>
      <protection/>
    </xf>
    <xf numFmtId="0" fontId="29" fillId="0" borderId="23" xfId="19" applyFont="1" applyFill="1" applyBorder="1" applyAlignment="1" applyProtection="1">
      <alignment horizontal="center" vertical="center" wrapText="1"/>
      <protection/>
    </xf>
    <xf numFmtId="2" fontId="20" fillId="3" borderId="19" xfId="19" applyNumberFormat="1" applyFont="1" applyFill="1" applyBorder="1" applyAlignment="1" applyProtection="1">
      <alignment vertical="center"/>
      <protection locked="0"/>
    </xf>
    <xf numFmtId="0" fontId="20" fillId="0" borderId="24" xfId="19" applyFont="1" applyBorder="1" applyAlignment="1" applyProtection="1">
      <alignment vertical="center"/>
      <protection/>
    </xf>
    <xf numFmtId="0" fontId="22" fillId="0" borderId="9" xfId="19" applyFont="1" applyBorder="1" applyAlignment="1" applyProtection="1">
      <alignment vertical="center"/>
      <protection/>
    </xf>
    <xf numFmtId="4" fontId="29" fillId="2" borderId="9" xfId="17" applyNumberFormat="1" applyFont="1" applyFill="1" applyBorder="1" applyAlignment="1" applyProtection="1">
      <alignment horizontal="center" vertical="center"/>
      <protection/>
    </xf>
    <xf numFmtId="4" fontId="20" fillId="3" borderId="25" xfId="17" applyNumberFormat="1" applyFont="1" applyFill="1" applyBorder="1" applyAlignment="1" applyProtection="1">
      <alignment vertical="center"/>
      <protection locked="0"/>
    </xf>
    <xf numFmtId="4" fontId="20" fillId="3" borderId="26" xfId="17" applyNumberFormat="1" applyFont="1" applyFill="1" applyBorder="1" applyAlignment="1" applyProtection="1">
      <alignment vertical="center"/>
      <protection locked="0"/>
    </xf>
    <xf numFmtId="3" fontId="20" fillId="3" borderId="27" xfId="19" applyNumberFormat="1" applyFont="1" applyFill="1" applyBorder="1" applyAlignment="1" applyProtection="1">
      <alignment vertical="center"/>
      <protection locked="0"/>
    </xf>
    <xf numFmtId="0" fontId="22" fillId="0" borderId="7" xfId="19" applyFont="1" applyBorder="1" applyAlignment="1" applyProtection="1">
      <alignment vertical="center"/>
      <protection/>
    </xf>
    <xf numFmtId="0" fontId="25" fillId="0" borderId="7" xfId="19" applyFont="1" applyBorder="1" applyAlignment="1" applyProtection="1">
      <alignment vertical="center"/>
      <protection/>
    </xf>
    <xf numFmtId="0" fontId="29" fillId="0" borderId="12" xfId="19" applyFont="1" applyBorder="1" applyAlignment="1" applyProtection="1">
      <alignment horizontal="centerContinuous"/>
      <protection/>
    </xf>
    <xf numFmtId="0" fontId="29" fillId="0" borderId="28" xfId="19" applyFont="1" applyBorder="1" applyAlignment="1" applyProtection="1">
      <alignment horizontal="centerContinuous"/>
      <protection/>
    </xf>
    <xf numFmtId="0" fontId="22" fillId="0" borderId="9" xfId="19" applyFont="1" applyBorder="1" applyAlignment="1" applyProtection="1">
      <alignment vertical="center"/>
      <protection/>
    </xf>
    <xf numFmtId="0" fontId="29" fillId="0" borderId="17" xfId="19" applyFont="1" applyFill="1" applyBorder="1" applyAlignment="1" applyProtection="1">
      <alignment horizontal="center" vertical="center" wrapText="1"/>
      <protection/>
    </xf>
    <xf numFmtId="0" fontId="29" fillId="0" borderId="9" xfId="19" applyFont="1" applyFill="1" applyBorder="1" applyAlignment="1" applyProtection="1">
      <alignment horizontal="center" vertical="center" wrapText="1"/>
      <protection/>
    </xf>
    <xf numFmtId="0" fontId="20" fillId="0" borderId="10" xfId="19" applyFont="1" applyFill="1" applyBorder="1" applyAlignment="1" applyProtection="1">
      <alignment vertical="center"/>
      <protection/>
    </xf>
    <xf numFmtId="3" fontId="20" fillId="3" borderId="14" xfId="19" applyNumberFormat="1" applyFont="1" applyFill="1" applyBorder="1" applyAlignment="1" applyProtection="1">
      <alignment vertical="center"/>
      <protection locked="0"/>
    </xf>
    <xf numFmtId="4" fontId="20" fillId="3" borderId="14" xfId="17" applyNumberFormat="1" applyFont="1" applyFill="1" applyBorder="1" applyAlignment="1" applyProtection="1">
      <alignment vertical="center"/>
      <protection locked="0"/>
    </xf>
    <xf numFmtId="3" fontId="20" fillId="0" borderId="10" xfId="17" applyNumberFormat="1" applyFont="1" applyFill="1" applyBorder="1" applyAlignment="1" applyProtection="1">
      <alignment vertical="center"/>
      <protection/>
    </xf>
    <xf numFmtId="3" fontId="20" fillId="0" borderId="29" xfId="19" applyNumberFormat="1" applyFont="1" applyBorder="1" applyAlignment="1" applyProtection="1">
      <alignment vertical="center"/>
      <protection/>
    </xf>
    <xf numFmtId="3" fontId="20" fillId="3" borderId="17" xfId="19" applyNumberFormat="1" applyFont="1" applyFill="1" applyBorder="1" applyAlignment="1" applyProtection="1">
      <alignment vertical="center"/>
      <protection locked="0"/>
    </xf>
    <xf numFmtId="4" fontId="20" fillId="3" borderId="17" xfId="19" applyNumberFormat="1" applyFont="1" applyFill="1" applyBorder="1" applyAlignment="1" applyProtection="1">
      <alignment vertical="center"/>
      <protection locked="0"/>
    </xf>
    <xf numFmtId="3" fontId="20" fillId="3" borderId="25" xfId="19" applyNumberFormat="1" applyFont="1" applyFill="1" applyBorder="1" applyAlignment="1" applyProtection="1">
      <alignment vertical="center"/>
      <protection locked="0"/>
    </xf>
    <xf numFmtId="4" fontId="20" fillId="3" borderId="25" xfId="19" applyNumberFormat="1" applyFont="1" applyFill="1" applyBorder="1" applyAlignment="1" applyProtection="1">
      <alignment vertical="center"/>
      <protection locked="0"/>
    </xf>
    <xf numFmtId="0" fontId="20" fillId="0" borderId="1" xfId="19" applyFont="1" applyFill="1" applyBorder="1" applyAlignment="1" applyProtection="1">
      <alignment vertical="center"/>
      <protection/>
    </xf>
    <xf numFmtId="3" fontId="20" fillId="0" borderId="1" xfId="17" applyNumberFormat="1" applyFont="1" applyFill="1" applyBorder="1" applyAlignment="1" applyProtection="1">
      <alignment vertical="center"/>
      <protection/>
    </xf>
    <xf numFmtId="3" fontId="20" fillId="0" borderId="5" xfId="19" applyNumberFormat="1" applyFont="1" applyFill="1" applyBorder="1" applyAlignment="1" applyProtection="1">
      <alignment vertical="center"/>
      <protection/>
    </xf>
    <xf numFmtId="0" fontId="22" fillId="0" borderId="6" xfId="19" applyFont="1" applyBorder="1" applyAlignment="1" applyProtection="1">
      <alignment vertical="center"/>
      <protection/>
    </xf>
    <xf numFmtId="0" fontId="20" fillId="0" borderId="23" xfId="19" applyFont="1" applyBorder="1" applyAlignment="1" applyProtection="1">
      <alignment vertical="center"/>
      <protection/>
    </xf>
    <xf numFmtId="0" fontId="27" fillId="0" borderId="0" xfId="19" applyFont="1" applyAlignment="1" applyProtection="1">
      <alignment vertical="center"/>
      <protection/>
    </xf>
    <xf numFmtId="0" fontId="27" fillId="0" borderId="26" xfId="19" applyFont="1" applyBorder="1" applyAlignment="1" applyProtection="1">
      <alignment vertical="center"/>
      <protection/>
    </xf>
    <xf numFmtId="0" fontId="27" fillId="0" borderId="10" xfId="19" applyFont="1" applyBorder="1" applyAlignment="1" applyProtection="1">
      <alignment vertical="center"/>
      <protection/>
    </xf>
    <xf numFmtId="0" fontId="27" fillId="0" borderId="30" xfId="19" applyFont="1" applyBorder="1" applyAlignment="1" applyProtection="1">
      <alignment vertical="center"/>
      <protection/>
    </xf>
    <xf numFmtId="3" fontId="20" fillId="3" borderId="15" xfId="19" applyNumberFormat="1" applyFont="1" applyFill="1" applyBorder="1" applyAlignment="1" applyProtection="1">
      <alignment vertical="center"/>
      <protection locked="0"/>
    </xf>
    <xf numFmtId="3" fontId="20" fillId="3" borderId="4" xfId="19" applyNumberFormat="1" applyFont="1" applyFill="1" applyBorder="1" applyAlignment="1" applyProtection="1">
      <alignment vertical="center"/>
      <protection locked="0"/>
    </xf>
    <xf numFmtId="0" fontId="22" fillId="0" borderId="9" xfId="19" applyFont="1" applyFill="1" applyBorder="1" applyAlignment="1" applyProtection="1">
      <alignment vertical="center"/>
      <protection/>
    </xf>
    <xf numFmtId="0" fontId="20" fillId="0" borderId="9" xfId="19" applyFont="1" applyFill="1" applyBorder="1" applyAlignment="1" applyProtection="1">
      <alignment vertical="center"/>
      <protection/>
    </xf>
    <xf numFmtId="219" fontId="20" fillId="3" borderId="17" xfId="19" applyNumberFormat="1" applyFont="1" applyFill="1" applyBorder="1" applyAlignment="1" applyProtection="1">
      <alignment horizontal="center" vertical="center"/>
      <protection locked="0"/>
    </xf>
    <xf numFmtId="3" fontId="29" fillId="0" borderId="9" xfId="19" applyNumberFormat="1" applyFont="1" applyFill="1" applyBorder="1" applyAlignment="1" applyProtection="1">
      <alignment vertical="center"/>
      <protection/>
    </xf>
    <xf numFmtId="0" fontId="27" fillId="0" borderId="9" xfId="19" applyFont="1" applyFill="1" applyBorder="1" applyAlignment="1" applyProtection="1">
      <alignment horizontal="right" vertical="center"/>
      <protection/>
    </xf>
    <xf numFmtId="172" fontId="20" fillId="2" borderId="17" xfId="19" applyNumberFormat="1" applyFont="1" applyFill="1" applyBorder="1" applyAlignment="1" applyProtection="1">
      <alignment horizontal="center" vertical="center"/>
      <protection/>
    </xf>
    <xf numFmtId="3" fontId="27" fillId="0" borderId="31" xfId="19" applyNumberFormat="1" applyFont="1" applyFill="1" applyBorder="1" applyAlignment="1" applyProtection="1">
      <alignment vertical="center"/>
      <protection/>
    </xf>
    <xf numFmtId="0" fontId="20" fillId="0" borderId="19" xfId="19" applyFont="1" applyFill="1" applyBorder="1" applyAlignment="1" applyProtection="1">
      <alignment vertical="center"/>
      <protection/>
    </xf>
    <xf numFmtId="0" fontId="29" fillId="0" borderId="19" xfId="19" applyFont="1" applyFill="1" applyBorder="1" applyAlignment="1" applyProtection="1">
      <alignment horizontal="right" vertical="center"/>
      <protection/>
    </xf>
    <xf numFmtId="3" fontId="27" fillId="0" borderId="24" xfId="19" applyNumberFormat="1" applyFont="1" applyFill="1" applyBorder="1" applyAlignment="1" applyProtection="1">
      <alignment vertical="center"/>
      <protection/>
    </xf>
    <xf numFmtId="0" fontId="27" fillId="2" borderId="1" xfId="19" applyFont="1" applyFill="1" applyBorder="1" applyAlignment="1" applyProtection="1">
      <alignment vertical="center"/>
      <protection/>
    </xf>
    <xf numFmtId="0" fontId="32" fillId="2" borderId="1" xfId="19" applyFont="1" applyFill="1" applyBorder="1" applyAlignment="1" applyProtection="1">
      <alignment vertical="center"/>
      <protection/>
    </xf>
    <xf numFmtId="3" fontId="23" fillId="0" borderId="22" xfId="19" applyNumberFormat="1" applyFont="1" applyBorder="1" applyAlignment="1" applyProtection="1">
      <alignment horizontal="centerContinuous" vertical="center"/>
      <protection/>
    </xf>
    <xf numFmtId="0" fontId="33" fillId="2" borderId="32" xfId="19" applyFont="1" applyFill="1" applyBorder="1" applyAlignment="1" applyProtection="1">
      <alignment vertical="center"/>
      <protection/>
    </xf>
    <xf numFmtId="0" fontId="20" fillId="0" borderId="32" xfId="19" applyFont="1" applyBorder="1" applyAlignment="1" applyProtection="1">
      <alignment vertical="center"/>
      <protection/>
    </xf>
    <xf numFmtId="0" fontId="27" fillId="2" borderId="32" xfId="19" applyFont="1" applyFill="1" applyBorder="1" applyAlignment="1" applyProtection="1">
      <alignment vertical="center"/>
      <protection/>
    </xf>
    <xf numFmtId="0" fontId="29" fillId="2" borderId="32" xfId="19" applyFont="1" applyFill="1" applyBorder="1" applyAlignment="1" applyProtection="1">
      <alignment vertical="center"/>
      <protection/>
    </xf>
    <xf numFmtId="0" fontId="27" fillId="2" borderId="32" xfId="19" applyFont="1" applyFill="1" applyBorder="1" applyAlignment="1" applyProtection="1">
      <alignment vertical="center" wrapText="1"/>
      <protection/>
    </xf>
    <xf numFmtId="0" fontId="20" fillId="0" borderId="32" xfId="19" applyFont="1" applyBorder="1" applyAlignment="1" applyProtection="1">
      <alignment vertical="center" wrapText="1"/>
      <protection/>
    </xf>
    <xf numFmtId="0" fontId="27" fillId="0" borderId="33" xfId="19" applyFont="1" applyBorder="1" applyAlignment="1" applyProtection="1">
      <alignment horizontal="right" vertical="center"/>
      <protection/>
    </xf>
    <xf numFmtId="0" fontId="17" fillId="0" borderId="0" xfId="20" applyAlignment="1" applyProtection="1">
      <alignment horizontal="center"/>
      <protection/>
    </xf>
    <xf numFmtId="0" fontId="29" fillId="0" borderId="0" xfId="19" applyFont="1" applyAlignment="1" applyProtection="1">
      <alignment vertical="center"/>
      <protection/>
    </xf>
    <xf numFmtId="0" fontId="5" fillId="0" borderId="1" xfId="20" applyFont="1" applyBorder="1" applyAlignment="1" applyProtection="1">
      <alignment vertical="center"/>
      <protection/>
    </xf>
    <xf numFmtId="0" fontId="0" fillId="0" borderId="1" xfId="20" applyFont="1" applyBorder="1" applyAlignment="1" applyProtection="1">
      <alignment vertical="center"/>
      <protection/>
    </xf>
    <xf numFmtId="0" fontId="31" fillId="0" borderId="1" xfId="19" applyFont="1" applyBorder="1" applyAlignment="1" applyProtection="1">
      <alignment vertical="center"/>
      <protection/>
    </xf>
    <xf numFmtId="0" fontId="28" fillId="0" borderId="1" xfId="19" applyFont="1" applyBorder="1" applyAlignment="1" applyProtection="1">
      <alignment vertical="center"/>
      <protection/>
    </xf>
    <xf numFmtId="0" fontId="28" fillId="0" borderId="1" xfId="19" applyFont="1" applyBorder="1" applyAlignment="1" applyProtection="1">
      <alignment horizontal="right" vertical="center"/>
      <protection/>
    </xf>
    <xf numFmtId="0" fontId="31" fillId="0" borderId="0" xfId="19" applyFont="1" applyAlignment="1" applyProtection="1">
      <alignment vertical="center"/>
      <protection/>
    </xf>
    <xf numFmtId="2" fontId="23" fillId="0" borderId="34" xfId="19" applyNumberFormat="1" applyFont="1" applyBorder="1" applyAlignment="1" applyProtection="1">
      <alignment horizontal="centerContinuous" vertical="center"/>
      <protection/>
    </xf>
    <xf numFmtId="0" fontId="35" fillId="0" borderId="0" xfId="19" applyFont="1" applyAlignment="1" applyProtection="1">
      <alignment horizontal="center" vertical="center"/>
      <protection/>
    </xf>
    <xf numFmtId="0" fontId="17" fillId="0" borderId="0" xfId="20" applyFont="1" applyAlignment="1" applyProtection="1">
      <alignment vertical="center"/>
      <protection/>
    </xf>
    <xf numFmtId="0" fontId="25" fillId="2" borderId="2" xfId="19" applyFont="1" applyFill="1" applyBorder="1" applyAlignment="1" applyProtection="1">
      <alignment horizontal="centerContinuous" vertical="center"/>
      <protection/>
    </xf>
    <xf numFmtId="172" fontId="25" fillId="2" borderId="2" xfId="19" applyNumberFormat="1" applyFont="1" applyFill="1" applyBorder="1" applyAlignment="1" applyProtection="1">
      <alignment horizontal="center" vertical="center"/>
      <protection/>
    </xf>
    <xf numFmtId="0" fontId="23" fillId="0" borderId="35" xfId="19" applyFont="1" applyBorder="1" applyAlignment="1" applyProtection="1">
      <alignment vertical="center"/>
      <protection/>
    </xf>
    <xf numFmtId="0" fontId="17" fillId="0" borderId="1" xfId="20" applyFont="1" applyBorder="1" applyAlignment="1" applyProtection="1">
      <alignment vertical="center"/>
      <protection/>
    </xf>
    <xf numFmtId="0" fontId="17" fillId="0" borderId="1" xfId="20" applyBorder="1" applyProtection="1">
      <alignment/>
      <protection/>
    </xf>
    <xf numFmtId="0" fontId="0" fillId="0" borderId="5" xfId="20" applyFont="1" applyBorder="1" applyAlignment="1" applyProtection="1">
      <alignment horizontal="center" vertical="center"/>
      <protection/>
    </xf>
    <xf numFmtId="0" fontId="17" fillId="0" borderId="0" xfId="20" applyBorder="1" applyProtection="1">
      <alignment/>
      <protection/>
    </xf>
    <xf numFmtId="0" fontId="25" fillId="0" borderId="34" xfId="19" applyFont="1" applyFill="1" applyBorder="1" applyAlignment="1" applyProtection="1">
      <alignment horizontal="centerContinuous" vertical="center"/>
      <protection/>
    </xf>
    <xf numFmtId="0" fontId="20" fillId="0" borderId="1" xfId="19" applyFont="1" applyBorder="1" applyAlignment="1" applyProtection="1">
      <alignment horizontal="centerContinuous" vertical="center"/>
      <protection/>
    </xf>
    <xf numFmtId="0" fontId="17" fillId="0" borderId="5" xfId="20" applyBorder="1" applyAlignment="1" applyProtection="1">
      <alignment horizontal="centerContinuous"/>
      <protection/>
    </xf>
    <xf numFmtId="0" fontId="20" fillId="0" borderId="16" xfId="19" applyFont="1" applyBorder="1" applyAlignment="1" applyProtection="1">
      <alignment vertical="center"/>
      <protection/>
    </xf>
    <xf numFmtId="0" fontId="17" fillId="0" borderId="9" xfId="20" applyFont="1" applyBorder="1" applyAlignment="1" applyProtection="1">
      <alignment vertical="center"/>
      <protection/>
    </xf>
    <xf numFmtId="0" fontId="17" fillId="0" borderId="9" xfId="20" applyBorder="1" applyProtection="1">
      <alignment/>
      <protection/>
    </xf>
    <xf numFmtId="0" fontId="17" fillId="0" borderId="31" xfId="20" applyBorder="1" applyAlignment="1" applyProtection="1">
      <alignment horizontal="center"/>
      <protection/>
    </xf>
    <xf numFmtId="0" fontId="20" fillId="0" borderId="9" xfId="19" applyFont="1" applyBorder="1" applyAlignment="1" applyProtection="1">
      <alignment horizontal="centerContinuous" vertical="center"/>
      <protection/>
    </xf>
    <xf numFmtId="0" fontId="17" fillId="0" borderId="31" xfId="20" applyBorder="1" applyAlignment="1" applyProtection="1">
      <alignment horizontal="centerContinuous"/>
      <protection/>
    </xf>
    <xf numFmtId="0" fontId="0" fillId="0" borderId="9" xfId="20" applyFont="1" applyBorder="1" applyAlignment="1" applyProtection="1">
      <alignment vertical="center"/>
      <protection/>
    </xf>
    <xf numFmtId="0" fontId="20" fillId="2" borderId="9" xfId="19" applyFont="1" applyFill="1" applyBorder="1" applyAlignment="1" applyProtection="1">
      <alignment horizontal="centerContinuous" vertical="center"/>
      <protection/>
    </xf>
    <xf numFmtId="0" fontId="17" fillId="2" borderId="31" xfId="20" applyFill="1" applyBorder="1" applyAlignment="1" applyProtection="1">
      <alignment horizontal="centerContinuous"/>
      <protection/>
    </xf>
    <xf numFmtId="0" fontId="20" fillId="0" borderId="20" xfId="19" applyFont="1" applyBorder="1" applyAlignment="1" applyProtection="1">
      <alignment vertical="center"/>
      <protection/>
    </xf>
    <xf numFmtId="0" fontId="0" fillId="0" borderId="19" xfId="20" applyFont="1" applyBorder="1" applyAlignment="1" applyProtection="1">
      <alignment vertical="center"/>
      <protection/>
    </xf>
    <xf numFmtId="0" fontId="17" fillId="0" borderId="19" xfId="20" applyBorder="1" applyProtection="1">
      <alignment/>
      <protection/>
    </xf>
    <xf numFmtId="0" fontId="20" fillId="0" borderId="19" xfId="19" applyFont="1" applyBorder="1" applyAlignment="1" applyProtection="1">
      <alignment horizontal="right" vertical="center"/>
      <protection/>
    </xf>
    <xf numFmtId="0" fontId="17" fillId="2" borderId="19" xfId="20" applyFill="1" applyBorder="1" applyAlignment="1" applyProtection="1">
      <alignment horizontal="center" vertical="center"/>
      <protection/>
    </xf>
    <xf numFmtId="0" fontId="20" fillId="2" borderId="19" xfId="19" applyFont="1" applyFill="1" applyBorder="1" applyAlignment="1" applyProtection="1">
      <alignment horizontal="right" vertical="center"/>
      <protection/>
    </xf>
    <xf numFmtId="0" fontId="20" fillId="0" borderId="19" xfId="19" applyFont="1" applyBorder="1" applyAlignment="1" applyProtection="1">
      <alignment horizontal="centerContinuous" vertical="center"/>
      <protection/>
    </xf>
    <xf numFmtId="0" fontId="17" fillId="0" borderId="24" xfId="20" applyBorder="1" applyAlignment="1" applyProtection="1">
      <alignment horizontal="centerContinuous"/>
      <protection/>
    </xf>
    <xf numFmtId="0" fontId="0" fillId="0" borderId="0" xfId="20" applyFont="1" applyAlignment="1" applyProtection="1">
      <alignment vertical="center"/>
      <protection/>
    </xf>
    <xf numFmtId="0" fontId="0" fillId="0" borderId="16" xfId="20" applyFont="1" applyBorder="1" applyAlignment="1" applyProtection="1">
      <alignment vertical="center"/>
      <protection/>
    </xf>
    <xf numFmtId="0" fontId="0" fillId="0" borderId="36" xfId="20" applyFont="1" applyBorder="1" applyAlignment="1" applyProtection="1">
      <alignment vertical="center"/>
      <protection/>
    </xf>
    <xf numFmtId="0" fontId="20" fillId="0" borderId="17" xfId="19" applyFont="1" applyBorder="1" applyAlignment="1" applyProtection="1">
      <alignment horizontal="right" vertical="center"/>
      <protection/>
    </xf>
    <xf numFmtId="0" fontId="20" fillId="3" borderId="17" xfId="19" applyFont="1" applyFill="1" applyBorder="1" applyAlignment="1" applyProtection="1">
      <alignment horizontal="right" vertical="center"/>
      <protection locked="0"/>
    </xf>
    <xf numFmtId="0" fontId="20" fillId="3" borderId="36" xfId="19" applyFont="1" applyFill="1" applyBorder="1" applyAlignment="1" applyProtection="1">
      <alignment horizontal="right" vertical="center"/>
      <protection locked="0"/>
    </xf>
    <xf numFmtId="0" fontId="17" fillId="0" borderId="16" xfId="20" applyBorder="1" applyAlignment="1" applyProtection="1">
      <alignment horizontal="right" vertical="center"/>
      <protection/>
    </xf>
    <xf numFmtId="217" fontId="0" fillId="2" borderId="31" xfId="20" applyNumberFormat="1" applyFont="1" applyFill="1" applyBorder="1" applyAlignment="1" applyProtection="1">
      <alignment horizontal="right" vertical="center"/>
      <protection/>
    </xf>
    <xf numFmtId="2" fontId="20" fillId="0" borderId="9" xfId="19" applyNumberFormat="1" applyFont="1" applyBorder="1" applyAlignment="1" applyProtection="1">
      <alignment vertical="center"/>
      <protection/>
    </xf>
    <xf numFmtId="2" fontId="20" fillId="3" borderId="17" xfId="19" applyNumberFormat="1" applyFont="1" applyFill="1" applyBorder="1" applyAlignment="1" applyProtection="1">
      <alignment vertical="center"/>
      <protection locked="0"/>
    </xf>
    <xf numFmtId="2" fontId="20" fillId="3" borderId="36" xfId="19" applyNumberFormat="1" applyFont="1" applyFill="1" applyBorder="1" applyAlignment="1" applyProtection="1">
      <alignment vertical="center"/>
      <protection locked="0"/>
    </xf>
    <xf numFmtId="2" fontId="20" fillId="3" borderId="31" xfId="19" applyNumberFormat="1" applyFont="1" applyFill="1" applyBorder="1" applyAlignment="1" applyProtection="1">
      <alignment horizontal="right" vertical="center"/>
      <protection locked="0"/>
    </xf>
    <xf numFmtId="0" fontId="20" fillId="0" borderId="36" xfId="19" applyFont="1" applyBorder="1" applyAlignment="1" applyProtection="1">
      <alignment horizontal="right" vertical="center"/>
      <protection/>
    </xf>
    <xf numFmtId="2" fontId="20" fillId="2" borderId="9" xfId="19" applyNumberFormat="1" applyFont="1" applyFill="1" applyBorder="1" applyAlignment="1" applyProtection="1">
      <alignment vertical="center"/>
      <protection/>
    </xf>
    <xf numFmtId="2" fontId="20" fillId="2" borderId="31" xfId="19" applyNumberFormat="1" applyFont="1" applyFill="1" applyBorder="1" applyAlignment="1" applyProtection="1">
      <alignment horizontal="right" vertical="center"/>
      <protection/>
    </xf>
    <xf numFmtId="0" fontId="20" fillId="0" borderId="37" xfId="19" applyFont="1" applyBorder="1" applyAlignment="1" applyProtection="1">
      <alignment horizontal="right" vertical="center"/>
      <protection/>
    </xf>
    <xf numFmtId="2" fontId="20" fillId="2" borderId="19" xfId="19" applyNumberFormat="1" applyFont="1" applyFill="1" applyBorder="1" applyAlignment="1" applyProtection="1">
      <alignment vertical="center"/>
      <protection/>
    </xf>
    <xf numFmtId="2" fontId="20" fillId="2" borderId="20" xfId="19" applyNumberFormat="1" applyFont="1" applyFill="1" applyBorder="1" applyAlignment="1" applyProtection="1">
      <alignment vertical="center"/>
      <protection/>
    </xf>
    <xf numFmtId="2" fontId="20" fillId="2" borderId="24" xfId="19" applyNumberFormat="1" applyFont="1" applyFill="1" applyBorder="1" applyAlignment="1" applyProtection="1">
      <alignment vertical="center"/>
      <protection/>
    </xf>
    <xf numFmtId="0" fontId="1" fillId="0" borderId="19" xfId="20" applyFont="1" applyBorder="1" applyAlignment="1" applyProtection="1">
      <alignment vertical="center"/>
      <protection/>
    </xf>
    <xf numFmtId="0" fontId="22" fillId="0" borderId="19" xfId="19" applyFont="1" applyBorder="1" applyAlignment="1" applyProtection="1">
      <alignment horizontal="right" vertical="center"/>
      <protection/>
    </xf>
    <xf numFmtId="2" fontId="25" fillId="2" borderId="19" xfId="19" applyNumberFormat="1" applyFont="1" applyFill="1" applyBorder="1" applyAlignment="1" applyProtection="1">
      <alignment vertical="center"/>
      <protection/>
    </xf>
    <xf numFmtId="2" fontId="25" fillId="2" borderId="20" xfId="19" applyNumberFormat="1" applyFont="1" applyFill="1" applyBorder="1" applyAlignment="1" applyProtection="1">
      <alignment vertical="center"/>
      <protection/>
    </xf>
    <xf numFmtId="2" fontId="25" fillId="2" borderId="24" xfId="19" applyNumberFormat="1" applyFont="1" applyFill="1" applyBorder="1" applyAlignment="1" applyProtection="1">
      <alignment vertical="center"/>
      <protection/>
    </xf>
    <xf numFmtId="2" fontId="20" fillId="0" borderId="0" xfId="19" applyNumberFormat="1" applyFont="1" applyAlignment="1" applyProtection="1">
      <alignment vertical="center"/>
      <protection/>
    </xf>
    <xf numFmtId="0" fontId="0" fillId="0" borderId="6" xfId="20" applyFont="1" applyBorder="1" applyAlignment="1" applyProtection="1">
      <alignment vertical="center"/>
      <protection/>
    </xf>
    <xf numFmtId="0" fontId="22" fillId="0" borderId="6" xfId="19" applyFont="1" applyBorder="1" applyAlignment="1" applyProtection="1">
      <alignment horizontal="right" vertical="center"/>
      <protection/>
    </xf>
    <xf numFmtId="2" fontId="20" fillId="2" borderId="38" xfId="19" applyNumberFormat="1" applyFont="1" applyFill="1" applyBorder="1" applyAlignment="1" applyProtection="1">
      <alignment vertical="center"/>
      <protection/>
    </xf>
    <xf numFmtId="2" fontId="22" fillId="2" borderId="0" xfId="19" applyNumberFormat="1" applyFont="1" applyFill="1" applyBorder="1" applyAlignment="1" applyProtection="1">
      <alignment vertical="center"/>
      <protection/>
    </xf>
    <xf numFmtId="0" fontId="7" fillId="0" borderId="0" xfId="20" applyFont="1" applyAlignment="1" applyProtection="1">
      <alignment vertical="top"/>
      <protection/>
    </xf>
    <xf numFmtId="0" fontId="22" fillId="0" borderId="35" xfId="19" applyFont="1" applyBorder="1" applyAlignment="1" applyProtection="1">
      <alignment vertical="center"/>
      <protection/>
    </xf>
    <xf numFmtId="0" fontId="20" fillId="0" borderId="3" xfId="19" applyFont="1" applyBorder="1" applyAlignment="1" applyProtection="1">
      <alignment horizontal="center" vertical="center"/>
      <protection/>
    </xf>
    <xf numFmtId="0" fontId="20" fillId="0" borderId="5" xfId="19" applyFont="1" applyBorder="1" applyAlignment="1" applyProtection="1">
      <alignment vertical="center"/>
      <protection/>
    </xf>
    <xf numFmtId="0" fontId="20" fillId="3" borderId="17" xfId="19" applyFont="1" applyFill="1" applyBorder="1" applyAlignment="1" applyProtection="1">
      <alignment horizontal="center" vertical="center"/>
      <protection locked="0"/>
    </xf>
    <xf numFmtId="0" fontId="20" fillId="2" borderId="17" xfId="19" applyFont="1" applyFill="1" applyBorder="1" applyAlignment="1" applyProtection="1">
      <alignment horizontal="center" vertical="center"/>
      <protection/>
    </xf>
    <xf numFmtId="0" fontId="20" fillId="3" borderId="37" xfId="19" applyFont="1" applyFill="1" applyBorder="1" applyAlignment="1" applyProtection="1">
      <alignment horizontal="center" vertical="center"/>
      <protection locked="0"/>
    </xf>
    <xf numFmtId="0" fontId="29" fillId="0" borderId="0" xfId="19" applyFont="1" applyAlignment="1" applyProtection="1">
      <alignment vertical="center"/>
      <protection/>
    </xf>
    <xf numFmtId="0" fontId="32" fillId="0" borderId="0" xfId="19" applyFont="1" applyAlignment="1" applyProtection="1">
      <alignment vertical="center"/>
      <protection/>
    </xf>
    <xf numFmtId="0" fontId="0" fillId="0" borderId="7" xfId="0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 locked="0"/>
    </xf>
    <xf numFmtId="3" fontId="0" fillId="3" borderId="14" xfId="0" applyNumberFormat="1" applyFont="1" applyFill="1" applyBorder="1" applyAlignment="1" applyProtection="1">
      <alignment vertical="center"/>
      <protection locked="0"/>
    </xf>
    <xf numFmtId="3" fontId="0" fillId="0" borderId="29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3" borderId="17" xfId="0" applyFont="1" applyFill="1" applyBorder="1" applyAlignment="1" applyProtection="1">
      <alignment vertical="center"/>
      <protection locked="0"/>
    </xf>
    <xf numFmtId="3" fontId="0" fillId="3" borderId="17" xfId="0" applyNumberFormat="1" applyFont="1" applyFill="1" applyBorder="1" applyAlignment="1" applyProtection="1">
      <alignment vertical="center"/>
      <protection locked="0"/>
    </xf>
    <xf numFmtId="3" fontId="0" fillId="3" borderId="25" xfId="0" applyNumberFormat="1" applyFont="1" applyFill="1" applyBorder="1" applyAlignment="1" applyProtection="1">
      <alignment vertical="center"/>
      <protection locked="0"/>
    </xf>
    <xf numFmtId="0" fontId="0" fillId="3" borderId="9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0" fillId="2" borderId="0" xfId="0" applyNumberFormat="1" applyFont="1" applyFill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0" fillId="2" borderId="36" xfId="19" applyFont="1" applyFill="1" applyBorder="1" applyAlignment="1" applyProtection="1">
      <alignment vertical="center"/>
      <protection/>
    </xf>
    <xf numFmtId="0" fontId="20" fillId="2" borderId="10" xfId="19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3" fontId="4" fillId="0" borderId="2" xfId="0" applyNumberFormat="1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3" fontId="1" fillId="0" borderId="5" xfId="0" applyNumberFormat="1" applyFont="1" applyBorder="1" applyAlignment="1" applyProtection="1">
      <alignment horizontal="right" vertical="center"/>
      <protection/>
    </xf>
    <xf numFmtId="3" fontId="4" fillId="0" borderId="2" xfId="0" applyNumberFormat="1" applyFont="1" applyBorder="1" applyAlignment="1" applyProtection="1">
      <alignment horizontal="center" vertical="center"/>
      <protection/>
    </xf>
    <xf numFmtId="3" fontId="4" fillId="0" borderId="2" xfId="0" applyNumberFormat="1" applyFont="1" applyBorder="1" applyAlignment="1" applyProtection="1">
      <alignment horizontal="centerContinuous" vertical="center"/>
      <protection/>
    </xf>
    <xf numFmtId="0" fontId="4" fillId="0" borderId="7" xfId="0" applyFont="1" applyBorder="1" applyAlignment="1" applyProtection="1">
      <alignment vertical="center"/>
      <protection/>
    </xf>
    <xf numFmtId="3" fontId="1" fillId="0" borderId="24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Continuous" vertical="center"/>
      <protection/>
    </xf>
    <xf numFmtId="3" fontId="0" fillId="2" borderId="0" xfId="0" applyNumberFormat="1" applyFont="1" applyFill="1" applyBorder="1" applyAlignment="1" applyProtection="1">
      <alignment horizontal="centerContinuous" vertical="center"/>
      <protection/>
    </xf>
    <xf numFmtId="3" fontId="9" fillId="2" borderId="0" xfId="0" applyNumberFormat="1" applyFont="1" applyFill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horizontal="centerContinuous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Continuous"/>
      <protection/>
    </xf>
    <xf numFmtId="3" fontId="1" fillId="0" borderId="5" xfId="0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3" borderId="25" xfId="0" applyFont="1" applyFill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/>
    </xf>
    <xf numFmtId="3" fontId="1" fillId="0" borderId="40" xfId="0" applyNumberFormat="1" applyFont="1" applyFill="1" applyBorder="1" applyAlignment="1" applyProtection="1">
      <alignment vertical="center"/>
      <protection/>
    </xf>
    <xf numFmtId="0" fontId="17" fillId="0" borderId="32" xfId="20" applyBorder="1" applyProtection="1">
      <alignment/>
      <protection/>
    </xf>
    <xf numFmtId="0" fontId="1" fillId="0" borderId="6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Continuous" vertical="center"/>
      <protection/>
    </xf>
    <xf numFmtId="2" fontId="0" fillId="0" borderId="9" xfId="0" applyNumberFormat="1" applyFont="1" applyBorder="1" applyAlignment="1" applyProtection="1">
      <alignment vertical="center"/>
      <protection/>
    </xf>
    <xf numFmtId="2" fontId="0" fillId="3" borderId="9" xfId="0" applyNumberFormat="1" applyFont="1" applyFill="1" applyBorder="1" applyAlignment="1" applyProtection="1">
      <alignment vertical="center"/>
      <protection locked="0"/>
    </xf>
    <xf numFmtId="2" fontId="0" fillId="3" borderId="19" xfId="0" applyNumberFormat="1" applyFont="1" applyFill="1" applyBorder="1" applyAlignment="1" applyProtection="1">
      <alignment vertical="center"/>
      <protection locked="0"/>
    </xf>
    <xf numFmtId="3" fontId="0" fillId="3" borderId="18" xfId="0" applyNumberFormat="1" applyFont="1" applyFill="1" applyBorder="1" applyAlignment="1" applyProtection="1">
      <alignment vertical="center"/>
      <protection locked="0"/>
    </xf>
    <xf numFmtId="0" fontId="0" fillId="3" borderId="19" xfId="0" applyFont="1" applyFill="1" applyBorder="1" applyAlignment="1" applyProtection="1">
      <alignment vertical="center"/>
      <protection locked="0"/>
    </xf>
    <xf numFmtId="3" fontId="0" fillId="3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2" fontId="0" fillId="3" borderId="37" xfId="0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Continuous" vertical="center"/>
      <protection/>
    </xf>
    <xf numFmtId="0" fontId="4" fillId="0" borderId="6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left" vertical="center"/>
      <protection/>
    </xf>
    <xf numFmtId="179" fontId="0" fillId="0" borderId="21" xfId="0" applyNumberFormat="1" applyFont="1" applyBorder="1" applyAlignment="1" applyProtection="1">
      <alignment horizontal="right" vertical="center"/>
      <protection/>
    </xf>
    <xf numFmtId="0" fontId="40" fillId="0" borderId="6" xfId="0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Continuous" vertical="center"/>
      <protection/>
    </xf>
    <xf numFmtId="0" fontId="6" fillId="0" borderId="6" xfId="0" applyFont="1" applyBorder="1" applyAlignment="1" applyProtection="1">
      <alignment horizontal="centerContinuous" vertical="center" wrapText="1"/>
      <protection/>
    </xf>
    <xf numFmtId="3" fontId="18" fillId="2" borderId="0" xfId="0" applyNumberFormat="1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Border="1" applyAlignment="1" applyProtection="1">
      <alignment horizontal="centerContinuous" vertical="center"/>
      <protection/>
    </xf>
    <xf numFmtId="3" fontId="4" fillId="0" borderId="2" xfId="0" applyNumberFormat="1" applyFont="1" applyBorder="1" applyAlignment="1" applyProtection="1">
      <alignment horizontal="centerContinuous" vertical="center"/>
      <protection/>
    </xf>
    <xf numFmtId="0" fontId="40" fillId="0" borderId="5" xfId="0" applyFont="1" applyBorder="1" applyAlignment="1" applyProtection="1">
      <alignment horizontal="centerContinuous" vertical="center"/>
      <protection/>
    </xf>
    <xf numFmtId="0" fontId="40" fillId="0" borderId="41" xfId="0" applyFont="1" applyBorder="1" applyAlignment="1" applyProtection="1">
      <alignment horizontal="centerContinuous" vertical="center"/>
      <protection/>
    </xf>
    <xf numFmtId="0" fontId="40" fillId="0" borderId="6" xfId="0" applyFont="1" applyBorder="1" applyAlignment="1" applyProtection="1">
      <alignment horizontal="centerContinuous" vertical="center"/>
      <protection/>
    </xf>
    <xf numFmtId="0" fontId="0" fillId="0" borderId="42" xfId="0" applyFont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176" fontId="1" fillId="0" borderId="3" xfId="0" applyNumberFormat="1" applyFont="1" applyBorder="1" applyAlignment="1" applyProtection="1">
      <alignment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4" fillId="2" borderId="43" xfId="0" applyFont="1" applyFill="1" applyBorder="1" applyAlignment="1" applyProtection="1">
      <alignment horizontal="center" vertical="center"/>
      <protection/>
    </xf>
    <xf numFmtId="3" fontId="1" fillId="2" borderId="0" xfId="0" applyNumberFormat="1" applyFont="1" applyFill="1" applyBorder="1" applyAlignment="1" applyProtection="1">
      <alignment horizontal="centerContinuous" vertical="center"/>
      <protection/>
    </xf>
    <xf numFmtId="2" fontId="5" fillId="0" borderId="0" xfId="0" applyNumberFormat="1" applyFont="1" applyBorder="1" applyAlignment="1" applyProtection="1">
      <alignment horizontal="centerContinuous" vertical="center"/>
      <protection/>
    </xf>
    <xf numFmtId="0" fontId="0" fillId="0" borderId="19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right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/>
    </xf>
    <xf numFmtId="0" fontId="39" fillId="0" borderId="44" xfId="0" applyFont="1" applyBorder="1" applyAlignment="1" applyProtection="1">
      <alignment vertical="center"/>
      <protection/>
    </xf>
    <xf numFmtId="0" fontId="20" fillId="0" borderId="45" xfId="19" applyFont="1" applyBorder="1" applyAlignment="1" applyProtection="1">
      <alignment vertical="center"/>
      <protection/>
    </xf>
    <xf numFmtId="0" fontId="20" fillId="0" borderId="46" xfId="19" applyFont="1" applyBorder="1" applyAlignment="1" applyProtection="1">
      <alignment vertical="center"/>
      <protection/>
    </xf>
    <xf numFmtId="0" fontId="20" fillId="0" borderId="39" xfId="19" applyFont="1" applyBorder="1" applyAlignment="1" applyProtection="1">
      <alignment vertical="center"/>
      <protection/>
    </xf>
    <xf numFmtId="0" fontId="20" fillId="0" borderId="47" xfId="19" applyFont="1" applyBorder="1" applyAlignment="1" applyProtection="1">
      <alignment vertical="center"/>
      <protection/>
    </xf>
    <xf numFmtId="0" fontId="20" fillId="2" borderId="7" xfId="19" applyFont="1" applyFill="1" applyBorder="1" applyAlignment="1" applyProtection="1">
      <alignment vertical="center"/>
      <protection/>
    </xf>
    <xf numFmtId="0" fontId="20" fillId="0" borderId="34" xfId="19" applyFont="1" applyBorder="1" applyAlignment="1" applyProtection="1">
      <alignment vertical="center"/>
      <protection/>
    </xf>
    <xf numFmtId="172" fontId="20" fillId="3" borderId="17" xfId="19" applyNumberFormat="1" applyFont="1" applyFill="1" applyBorder="1" applyAlignment="1" applyProtection="1">
      <alignment horizontal="center" vertical="center"/>
      <protection locked="0"/>
    </xf>
    <xf numFmtId="172" fontId="20" fillId="3" borderId="37" xfId="19" applyNumberFormat="1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/>
      <protection locked="0"/>
    </xf>
    <xf numFmtId="0" fontId="0" fillId="3" borderId="24" xfId="0" applyFill="1" applyBorder="1" applyAlignment="1" applyProtection="1">
      <alignment/>
      <protection locked="0"/>
    </xf>
    <xf numFmtId="0" fontId="5" fillId="0" borderId="34" xfId="0" applyFont="1" applyBorder="1" applyAlignment="1" applyProtection="1">
      <alignment horizontal="centerContinuous"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5" xfId="0" applyFont="1" applyBorder="1" applyAlignment="1" applyProtection="1">
      <alignment horizontal="centerContinuous"/>
      <protection/>
    </xf>
    <xf numFmtId="0" fontId="0" fillId="0" borderId="5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20" fillId="0" borderId="1" xfId="19" applyFont="1" applyBorder="1" applyAlignment="1" applyProtection="1">
      <alignment horizontal="center" vertical="center"/>
      <protection locked="0"/>
    </xf>
    <xf numFmtId="0" fontId="20" fillId="0" borderId="5" xfId="19" applyFont="1" applyBorder="1" applyAlignment="1" applyProtection="1">
      <alignment horizontal="center" vertical="center"/>
      <protection locked="0"/>
    </xf>
    <xf numFmtId="0" fontId="20" fillId="0" borderId="2" xfId="19" applyFont="1" applyBorder="1" applyAlignment="1" applyProtection="1">
      <alignment vertical="center"/>
      <protection/>
    </xf>
    <xf numFmtId="3" fontId="20" fillId="0" borderId="2" xfId="19" applyNumberFormat="1" applyFont="1" applyBorder="1" applyAlignment="1" applyProtection="1">
      <alignment vertical="center"/>
      <protection/>
    </xf>
    <xf numFmtId="172" fontId="0" fillId="2" borderId="30" xfId="0" applyNumberFormat="1" applyFont="1" applyFill="1" applyBorder="1" applyAlignment="1" applyProtection="1">
      <alignment horizontal="right" vertical="center"/>
      <protection/>
    </xf>
    <xf numFmtId="172" fontId="0" fillId="2" borderId="30" xfId="0" applyNumberFormat="1" applyFont="1" applyFill="1" applyBorder="1" applyAlignment="1" applyProtection="1">
      <alignment vertical="center"/>
      <protection/>
    </xf>
    <xf numFmtId="3" fontId="0" fillId="2" borderId="38" xfId="0" applyNumberFormat="1" applyFont="1" applyFill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horizontal="right" vertical="center"/>
      <protection/>
    </xf>
    <xf numFmtId="172" fontId="0" fillId="0" borderId="7" xfId="0" applyNumberFormat="1" applyFont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40" fillId="0" borderId="39" xfId="0" applyFont="1" applyBorder="1" applyAlignment="1" applyProtection="1">
      <alignment horizontal="right" vertical="center"/>
      <protection/>
    </xf>
    <xf numFmtId="0" fontId="40" fillId="0" borderId="48" xfId="0" applyFont="1" applyBorder="1" applyAlignment="1" applyProtection="1">
      <alignment horizontal="right" vertical="center"/>
      <protection/>
    </xf>
    <xf numFmtId="3" fontId="22" fillId="2" borderId="0" xfId="19" applyNumberFormat="1" applyFont="1" applyFill="1" applyBorder="1" applyAlignment="1" applyProtection="1">
      <alignment horizontal="right" vertical="center"/>
      <protection/>
    </xf>
    <xf numFmtId="3" fontId="22" fillId="2" borderId="0" xfId="19" applyNumberFormat="1" applyFont="1" applyFill="1" applyBorder="1" applyAlignment="1" applyProtection="1">
      <alignment horizontal="right" vertical="center"/>
      <protection/>
    </xf>
    <xf numFmtId="3" fontId="20" fillId="2" borderId="0" xfId="19" applyNumberFormat="1" applyFont="1" applyFill="1" applyBorder="1" applyAlignment="1" applyProtection="1">
      <alignment vertical="center"/>
      <protection/>
    </xf>
    <xf numFmtId="0" fontId="20" fillId="2" borderId="0" xfId="19" applyFont="1" applyFill="1" applyBorder="1" applyAlignment="1" applyProtection="1">
      <alignment horizontal="centerContinuous" vertical="center"/>
      <protection/>
    </xf>
    <xf numFmtId="0" fontId="20" fillId="2" borderId="19" xfId="19" applyFont="1" applyFill="1" applyBorder="1" applyAlignment="1" applyProtection="1">
      <alignment vertical="center"/>
      <protection/>
    </xf>
    <xf numFmtId="3" fontId="22" fillId="2" borderId="0" xfId="19" applyNumberFormat="1" applyFont="1" applyFill="1" applyBorder="1" applyAlignment="1" applyProtection="1">
      <alignment horizontal="centerContinuous" vertical="center"/>
      <protection/>
    </xf>
    <xf numFmtId="2" fontId="0" fillId="3" borderId="41" xfId="0" applyNumberFormat="1" applyFont="1" applyFill="1" applyBorder="1" applyAlignment="1" applyProtection="1">
      <alignment vertical="center"/>
      <protection locked="0"/>
    </xf>
    <xf numFmtId="1" fontId="20" fillId="0" borderId="9" xfId="19" applyNumberFormat="1" applyFont="1" applyBorder="1" applyAlignment="1" applyProtection="1">
      <alignment horizontal="right" vertical="center"/>
      <protection/>
    </xf>
    <xf numFmtId="2" fontId="0" fillId="0" borderId="36" xfId="0" applyNumberFormat="1" applyFont="1" applyFill="1" applyBorder="1" applyAlignment="1" applyProtection="1">
      <alignment vertical="center"/>
      <protection/>
    </xf>
    <xf numFmtId="2" fontId="0" fillId="3" borderId="36" xfId="0" applyNumberFormat="1" applyFont="1" applyFill="1" applyBorder="1" applyAlignment="1" applyProtection="1">
      <alignment vertical="center"/>
      <protection locked="0"/>
    </xf>
    <xf numFmtId="2" fontId="0" fillId="0" borderId="49" xfId="0" applyNumberFormat="1" applyFont="1" applyFill="1" applyBorder="1" applyAlignment="1" applyProtection="1">
      <alignment vertical="center"/>
      <protection/>
    </xf>
    <xf numFmtId="0" fontId="0" fillId="0" borderId="43" xfId="0" applyBorder="1" applyAlignment="1">
      <alignment vertical="center"/>
    </xf>
    <xf numFmtId="0" fontId="0" fillId="0" borderId="24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20" fillId="3" borderId="3" xfId="19" applyNumberFormat="1" applyFont="1" applyFill="1" applyBorder="1" applyAlignment="1" applyProtection="1">
      <alignment horizontal="center" vertical="center"/>
      <protection locked="0"/>
    </xf>
    <xf numFmtId="0" fontId="0" fillId="3" borderId="17" xfId="20" applyFont="1" applyFill="1" applyBorder="1" applyAlignment="1" applyProtection="1">
      <alignment horizontal="center" vertical="center"/>
      <protection locked="0"/>
    </xf>
    <xf numFmtId="0" fontId="0" fillId="3" borderId="21" xfId="2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 vertical="center"/>
    </xf>
    <xf numFmtId="3" fontId="18" fillId="0" borderId="0" xfId="0" applyNumberFormat="1" applyFont="1" applyBorder="1" applyAlignment="1" applyProtection="1">
      <alignment horizontal="centerContinuous" vertical="center"/>
      <protection/>
    </xf>
    <xf numFmtId="172" fontId="1" fillId="0" borderId="3" xfId="0" applyNumberFormat="1" applyFont="1" applyBorder="1" applyAlignment="1" applyProtection="1">
      <alignment vertic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39" xfId="0" applyFill="1" applyBorder="1" applyAlignment="1" applyProtection="1">
      <alignment/>
      <protection/>
    </xf>
    <xf numFmtId="3" fontId="4" fillId="0" borderId="50" xfId="0" applyNumberFormat="1" applyFont="1" applyBorder="1" applyAlignment="1" applyProtection="1">
      <alignment horizontal="center" vertical="center"/>
      <protection/>
    </xf>
    <xf numFmtId="0" fontId="20" fillId="0" borderId="51" xfId="19" applyFont="1" applyBorder="1" applyAlignment="1" applyProtection="1">
      <alignment vertical="center"/>
      <protection/>
    </xf>
    <xf numFmtId="0" fontId="20" fillId="0" borderId="31" xfId="19" applyFont="1" applyBorder="1" applyAlignment="1" applyProtection="1">
      <alignment vertical="center"/>
      <protection/>
    </xf>
    <xf numFmtId="0" fontId="20" fillId="2" borderId="24" xfId="19" applyFont="1" applyFill="1" applyBorder="1" applyAlignment="1" applyProtection="1">
      <alignment vertical="center"/>
      <protection/>
    </xf>
    <xf numFmtId="2" fontId="20" fillId="2" borderId="0" xfId="19" applyNumberFormat="1" applyFont="1" applyFill="1" applyBorder="1" applyAlignment="1" applyProtection="1">
      <alignment vertical="center"/>
      <protection/>
    </xf>
    <xf numFmtId="3" fontId="4" fillId="0" borderId="7" xfId="0" applyNumberFormat="1" applyFont="1" applyBorder="1" applyAlignment="1" applyProtection="1">
      <alignment horizontal="center" vertical="center"/>
      <protection/>
    </xf>
    <xf numFmtId="3" fontId="4" fillId="0" borderId="52" xfId="0" applyNumberFormat="1" applyFont="1" applyBorder="1" applyAlignment="1" applyProtection="1">
      <alignment horizontal="center" vertical="center"/>
      <protection/>
    </xf>
    <xf numFmtId="2" fontId="0" fillId="0" borderId="24" xfId="0" applyNumberFormat="1" applyBorder="1" applyAlignment="1">
      <alignment vertical="center"/>
    </xf>
    <xf numFmtId="0" fontId="0" fillId="2" borderId="9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20" fillId="0" borderId="2" xfId="19" applyFont="1" applyBorder="1" applyAlignment="1" applyProtection="1">
      <alignment horizontal="center" vertical="center"/>
      <protection/>
    </xf>
    <xf numFmtId="0" fontId="20" fillId="0" borderId="53" xfId="19" applyFont="1" applyBorder="1" applyAlignment="1" applyProtection="1">
      <alignment horizontal="center" vertical="center"/>
      <protection/>
    </xf>
    <xf numFmtId="0" fontId="20" fillId="0" borderId="54" xfId="19" applyFont="1" applyBorder="1" applyAlignment="1" applyProtection="1">
      <alignment horizontal="center" vertical="center"/>
      <protection/>
    </xf>
    <xf numFmtId="0" fontId="20" fillId="0" borderId="55" xfId="19" applyFont="1" applyBorder="1" applyAlignment="1" applyProtection="1">
      <alignment horizontal="center" vertical="center"/>
      <protection/>
    </xf>
    <xf numFmtId="0" fontId="20" fillId="0" borderId="50" xfId="19" applyFont="1" applyBorder="1" applyAlignment="1" applyProtection="1">
      <alignment horizontal="center" vertical="center"/>
      <protection/>
    </xf>
    <xf numFmtId="0" fontId="20" fillId="0" borderId="56" xfId="19" applyFont="1" applyBorder="1" applyAlignment="1" applyProtection="1">
      <alignment horizontal="center" vertical="center"/>
      <protection/>
    </xf>
    <xf numFmtId="0" fontId="20" fillId="0" borderId="57" xfId="19" applyFont="1" applyBorder="1" applyAlignment="1" applyProtection="1">
      <alignment horizontal="center" vertical="center"/>
      <protection/>
    </xf>
    <xf numFmtId="0" fontId="0" fillId="0" borderId="2" xfId="20" applyFont="1" applyBorder="1" applyAlignment="1" applyProtection="1">
      <alignment horizontal="center" vertical="center"/>
      <protection/>
    </xf>
    <xf numFmtId="0" fontId="20" fillId="2" borderId="11" xfId="19" applyFont="1" applyFill="1" applyBorder="1" applyAlignment="1" applyProtection="1">
      <alignment vertical="center"/>
      <protection/>
    </xf>
    <xf numFmtId="0" fontId="20" fillId="2" borderId="0" xfId="19" applyFont="1" applyFill="1" applyAlignment="1" applyProtection="1">
      <alignment vertical="center"/>
      <protection/>
    </xf>
    <xf numFmtId="0" fontId="20" fillId="2" borderId="49" xfId="19" applyFont="1" applyFill="1" applyBorder="1" applyAlignment="1" applyProtection="1">
      <alignment vertical="center"/>
      <protection/>
    </xf>
    <xf numFmtId="0" fontId="25" fillId="2" borderId="19" xfId="19" applyFont="1" applyFill="1" applyBorder="1" applyAlignment="1" applyProtection="1">
      <alignment vertical="center"/>
      <protection/>
    </xf>
    <xf numFmtId="4" fontId="20" fillId="2" borderId="44" xfId="17" applyNumberFormat="1" applyFont="1" applyFill="1" applyBorder="1" applyAlignment="1" applyProtection="1">
      <alignment vertical="center"/>
      <protection/>
    </xf>
    <xf numFmtId="4" fontId="20" fillId="2" borderId="58" xfId="17" applyNumberFormat="1" applyFont="1" applyFill="1" applyBorder="1" applyAlignment="1" applyProtection="1">
      <alignment vertical="center"/>
      <protection/>
    </xf>
    <xf numFmtId="0" fontId="25" fillId="2" borderId="0" xfId="19" applyFont="1" applyFill="1" applyBorder="1" applyAlignment="1" applyProtection="1">
      <alignment vertical="center"/>
      <protection/>
    </xf>
    <xf numFmtId="4" fontId="20" fillId="2" borderId="19" xfId="17" applyNumberFormat="1" applyFont="1" applyFill="1" applyBorder="1" applyAlignment="1" applyProtection="1">
      <alignment vertical="center"/>
      <protection/>
    </xf>
    <xf numFmtId="0" fontId="20" fillId="2" borderId="16" xfId="19" applyFont="1" applyFill="1" applyBorder="1" applyAlignment="1" applyProtection="1">
      <alignment horizontal="right" vertical="center"/>
      <protection/>
    </xf>
    <xf numFmtId="2" fontId="20" fillId="2" borderId="16" xfId="19" applyNumberFormat="1" applyFont="1" applyFill="1" applyBorder="1" applyAlignment="1" applyProtection="1">
      <alignment vertical="center"/>
      <protection/>
    </xf>
    <xf numFmtId="0" fontId="20" fillId="2" borderId="31" xfId="19" applyFont="1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20" fillId="3" borderId="39" xfId="19" applyFont="1" applyFill="1" applyBorder="1" applyAlignment="1" applyProtection="1">
      <alignment vertical="center"/>
      <protection locked="0"/>
    </xf>
    <xf numFmtId="0" fontId="20" fillId="3" borderId="24" xfId="19" applyFont="1" applyFill="1" applyBorder="1" applyAlignment="1" applyProtection="1">
      <alignment vertical="center"/>
      <protection locked="0"/>
    </xf>
    <xf numFmtId="0" fontId="0" fillId="0" borderId="61" xfId="0" applyFont="1" applyBorder="1" applyAlignment="1" applyProtection="1">
      <alignment horizontal="center" vertical="center"/>
      <protection/>
    </xf>
    <xf numFmtId="3" fontId="22" fillId="2" borderId="0" xfId="19" applyNumberFormat="1" applyFont="1" applyFill="1" applyBorder="1" applyAlignment="1" applyProtection="1">
      <alignment horizontal="center" vertical="center"/>
      <protection/>
    </xf>
    <xf numFmtId="3" fontId="22" fillId="2" borderId="0" xfId="19" applyNumberFormat="1" applyFont="1" applyFill="1" applyBorder="1" applyAlignment="1" applyProtection="1">
      <alignment horizontal="center" vertical="center"/>
      <protection/>
    </xf>
    <xf numFmtId="0" fontId="22" fillId="2" borderId="0" xfId="19" applyFont="1" applyFill="1" applyBorder="1" applyAlignment="1" applyProtection="1">
      <alignment vertical="center"/>
      <protection/>
    </xf>
    <xf numFmtId="0" fontId="20" fillId="0" borderId="59" xfId="19" applyFont="1" applyBorder="1" applyAlignment="1" applyProtection="1">
      <alignment horizontal="center" vertical="center"/>
      <protection/>
    </xf>
    <xf numFmtId="3" fontId="20" fillId="3" borderId="51" xfId="19" applyNumberFormat="1" applyFont="1" applyFill="1" applyBorder="1" applyAlignment="1" applyProtection="1">
      <alignment horizontal="centerContinuous" vertical="center"/>
      <protection locked="0"/>
    </xf>
    <xf numFmtId="3" fontId="20" fillId="2" borderId="51" xfId="19" applyNumberFormat="1" applyFont="1" applyFill="1" applyBorder="1" applyAlignment="1" applyProtection="1">
      <alignment horizontal="centerContinuous" vertical="center"/>
      <protection/>
    </xf>
    <xf numFmtId="3" fontId="20" fillId="2" borderId="47" xfId="19" applyNumberFormat="1" applyFont="1" applyFill="1" applyBorder="1" applyAlignment="1" applyProtection="1">
      <alignment horizontal="centerContinuous" vertical="center"/>
      <protection/>
    </xf>
    <xf numFmtId="0" fontId="29" fillId="0" borderId="62" xfId="19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3" fillId="0" borderId="0" xfId="19" applyFont="1" applyAlignment="1" applyProtection="1">
      <alignment horizontal="left" vertical="center"/>
      <protection/>
    </xf>
    <xf numFmtId="0" fontId="27" fillId="0" borderId="0" xfId="19" applyFont="1" applyAlignment="1" applyProtection="1">
      <alignment horizontal="centerContinuous" vertical="center" wrapText="1"/>
      <protection/>
    </xf>
    <xf numFmtId="0" fontId="40" fillId="0" borderId="0" xfId="0" applyFont="1" applyAlignment="1">
      <alignment horizontal="centerContinuous"/>
    </xf>
    <xf numFmtId="0" fontId="40" fillId="0" borderId="0" xfId="0" applyFont="1" applyAlignment="1">
      <alignment horizontal="center" vertical="center" wrapText="1"/>
    </xf>
    <xf numFmtId="0" fontId="26" fillId="0" borderId="0" xfId="19" applyFont="1" applyAlignment="1" applyProtection="1">
      <alignment horizontal="left" vertical="center"/>
      <protection/>
    </xf>
    <xf numFmtId="0" fontId="27" fillId="2" borderId="63" xfId="19" applyFont="1" applyFill="1" applyBorder="1" applyAlignment="1" applyProtection="1">
      <alignment horizontal="centerContinuous" vertical="center" wrapText="1"/>
      <protection/>
    </xf>
    <xf numFmtId="0" fontId="27" fillId="0" borderId="63" xfId="19" applyFont="1" applyBorder="1" applyAlignment="1" applyProtection="1">
      <alignment horizontal="centerContinuous" vertical="center" wrapText="1"/>
      <protection/>
    </xf>
    <xf numFmtId="0" fontId="27" fillId="2" borderId="25" xfId="19" applyFont="1" applyFill="1" applyBorder="1" applyAlignment="1" applyProtection="1">
      <alignment horizontal="center" vertical="center"/>
      <protection/>
    </xf>
    <xf numFmtId="0" fontId="27" fillId="2" borderId="0" xfId="19" applyFont="1" applyFill="1" applyBorder="1" applyAlignment="1" applyProtection="1">
      <alignment horizontal="centerContinuous" vertical="center" wrapText="1"/>
      <protection/>
    </xf>
    <xf numFmtId="0" fontId="27" fillId="0" borderId="27" xfId="19" applyFont="1" applyBorder="1" applyAlignment="1" applyProtection="1">
      <alignment horizontal="centerContinuous" vertical="center" wrapText="1"/>
      <protection/>
    </xf>
    <xf numFmtId="0" fontId="27" fillId="2" borderId="16" xfId="19" applyFont="1" applyFill="1" applyBorder="1" applyAlignment="1" applyProtection="1">
      <alignment horizontal="center" vertical="center" wrapText="1"/>
      <protection/>
    </xf>
    <xf numFmtId="0" fontId="27" fillId="0" borderId="16" xfId="19" applyFont="1" applyBorder="1" applyAlignment="1" applyProtection="1">
      <alignment horizontal="centerContinuous" vertical="center" wrapText="1"/>
      <protection/>
    </xf>
    <xf numFmtId="0" fontId="27" fillId="2" borderId="17" xfId="19" applyFont="1" applyFill="1" applyBorder="1" applyAlignment="1" applyProtection="1">
      <alignment horizontal="centerContinuous" vertical="center" wrapText="1"/>
      <protection/>
    </xf>
    <xf numFmtId="0" fontId="27" fillId="2" borderId="9" xfId="19" applyFont="1" applyFill="1" applyBorder="1" applyAlignment="1" applyProtection="1">
      <alignment horizontal="centerContinuous" vertical="center" wrapText="1"/>
      <protection/>
    </xf>
    <xf numFmtId="0" fontId="27" fillId="0" borderId="18" xfId="19" applyFont="1" applyBorder="1" applyAlignment="1" applyProtection="1">
      <alignment horizontal="centerContinuous" vertical="center" wrapText="1"/>
      <protection/>
    </xf>
    <xf numFmtId="0" fontId="27" fillId="0" borderId="23" xfId="19" applyFont="1" applyFill="1" applyBorder="1" applyAlignment="1" applyProtection="1">
      <alignment horizontal="center" vertical="center" wrapText="1"/>
      <protection/>
    </xf>
    <xf numFmtId="0" fontId="27" fillId="0" borderId="23" xfId="19" applyFont="1" applyBorder="1" applyAlignment="1" applyProtection="1">
      <alignment horizontal="centerContinuous" vertical="center"/>
      <protection/>
    </xf>
    <xf numFmtId="0" fontId="27" fillId="0" borderId="64" xfId="19" applyFont="1" applyBorder="1" applyAlignment="1" applyProtection="1">
      <alignment horizontal="centerContinuous" vertical="center"/>
      <protection/>
    </xf>
    <xf numFmtId="4" fontId="27" fillId="2" borderId="17" xfId="17" applyNumberFormat="1" applyFont="1" applyFill="1" applyBorder="1" applyAlignment="1" applyProtection="1">
      <alignment horizontal="center" vertical="center"/>
      <protection/>
    </xf>
    <xf numFmtId="4" fontId="27" fillId="2" borderId="36" xfId="17" applyNumberFormat="1" applyFont="1" applyFill="1" applyBorder="1" applyAlignment="1" applyProtection="1">
      <alignment horizontal="center" vertical="center"/>
      <protection/>
    </xf>
    <xf numFmtId="0" fontId="27" fillId="2" borderId="9" xfId="19" applyFont="1" applyFill="1" applyBorder="1" applyAlignment="1" applyProtection="1">
      <alignment horizontal="center" vertical="center"/>
      <protection/>
    </xf>
    <xf numFmtId="3" fontId="27" fillId="2" borderId="18" xfId="19" applyNumberFormat="1" applyFont="1" applyFill="1" applyBorder="1" applyAlignment="1" applyProtection="1">
      <alignment horizontal="center" vertical="center"/>
      <protection/>
    </xf>
    <xf numFmtId="0" fontId="40" fillId="0" borderId="63" xfId="0" applyFont="1" applyBorder="1" applyAlignment="1">
      <alignment horizontal="center" vertical="center"/>
    </xf>
    <xf numFmtId="0" fontId="27" fillId="2" borderId="23" xfId="19" applyFont="1" applyFill="1" applyBorder="1" applyAlignment="1" applyProtection="1">
      <alignment horizontal="center" vertical="center"/>
      <protection/>
    </xf>
    <xf numFmtId="0" fontId="27" fillId="2" borderId="38" xfId="19" applyFont="1" applyFill="1" applyBorder="1" applyAlignment="1" applyProtection="1">
      <alignment horizontal="right" vertical="center" wrapText="1"/>
      <protection/>
    </xf>
    <xf numFmtId="0" fontId="29" fillId="0" borderId="65" xfId="19" applyFont="1" applyBorder="1" applyAlignment="1" applyProtection="1">
      <alignment horizontal="centerContinuous"/>
      <protection/>
    </xf>
    <xf numFmtId="0" fontId="27" fillId="0" borderId="1" xfId="19" applyFont="1" applyBorder="1" applyAlignment="1" applyProtection="1">
      <alignment horizontal="right" vertical="center"/>
      <protection/>
    </xf>
    <xf numFmtId="0" fontId="20" fillId="3" borderId="66" xfId="19" applyFont="1" applyFill="1" applyBorder="1" applyAlignment="1" applyProtection="1">
      <alignment vertical="center"/>
      <protection locked="0"/>
    </xf>
    <xf numFmtId="0" fontId="20" fillId="3" borderId="67" xfId="19" applyFont="1" applyFill="1" applyBorder="1" applyAlignment="1" applyProtection="1">
      <alignment vertical="center"/>
      <protection locked="0"/>
    </xf>
    <xf numFmtId="0" fontId="0" fillId="0" borderId="54" xfId="0" applyFont="1" applyBorder="1" applyAlignment="1" applyProtection="1">
      <alignment horizontal="center" vertical="center"/>
      <protection/>
    </xf>
    <xf numFmtId="0" fontId="40" fillId="0" borderId="12" xfId="0" applyFont="1" applyBorder="1" applyAlignment="1" applyProtection="1">
      <alignment horizontal="center" vertical="center"/>
      <protection/>
    </xf>
    <xf numFmtId="0" fontId="40" fillId="0" borderId="13" xfId="0" applyFont="1" applyBorder="1" applyAlignment="1" applyProtection="1">
      <alignment horizontal="center" vertical="center"/>
      <protection/>
    </xf>
    <xf numFmtId="0" fontId="40" fillId="0" borderId="25" xfId="0" applyFont="1" applyBorder="1" applyAlignment="1" applyProtection="1">
      <alignment horizontal="center" vertical="center"/>
      <protection/>
    </xf>
    <xf numFmtId="0" fontId="40" fillId="0" borderId="26" xfId="0" applyFont="1" applyBorder="1" applyAlignment="1" applyProtection="1">
      <alignment horizontal="center" vertical="center"/>
      <protection/>
    </xf>
    <xf numFmtId="0" fontId="40" fillId="0" borderId="39" xfId="0" applyFont="1" applyBorder="1" applyAlignment="1" applyProtection="1">
      <alignment horizontal="center" vertical="center"/>
      <protection/>
    </xf>
    <xf numFmtId="0" fontId="40" fillId="0" borderId="19" xfId="0" applyFont="1" applyBorder="1" applyAlignment="1" applyProtection="1">
      <alignment horizontal="right" vertical="center"/>
      <protection/>
    </xf>
    <xf numFmtId="0" fontId="40" fillId="0" borderId="38" xfId="0" applyFont="1" applyBorder="1" applyAlignment="1" applyProtection="1">
      <alignment vertical="center"/>
      <protection/>
    </xf>
    <xf numFmtId="0" fontId="40" fillId="0" borderId="23" xfId="0" applyFont="1" applyBorder="1" applyAlignment="1" applyProtection="1">
      <alignment horizontal="centerContinuous" vertical="center" wrapText="1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centerContinuous" vertical="center"/>
      <protection/>
    </xf>
    <xf numFmtId="3" fontId="4" fillId="0" borderId="0" xfId="0" applyNumberFormat="1" applyFont="1" applyBorder="1" applyAlignment="1" applyProtection="1">
      <alignment horizontal="centerContinuous" vertical="center"/>
      <protection/>
    </xf>
    <xf numFmtId="0" fontId="0" fillId="0" borderId="68" xfId="0" applyFont="1" applyBorder="1" applyAlignment="1" applyProtection="1">
      <alignment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0" fontId="0" fillId="0" borderId="72" xfId="0" applyFont="1" applyBorder="1" applyAlignment="1" applyProtection="1">
      <alignment horizontal="center" vertical="center"/>
      <protection/>
    </xf>
    <xf numFmtId="0" fontId="0" fillId="0" borderId="73" xfId="0" applyFont="1" applyBorder="1" applyAlignment="1" applyProtection="1">
      <alignment horizontal="center" vertical="center"/>
      <protection/>
    </xf>
    <xf numFmtId="0" fontId="0" fillId="0" borderId="74" xfId="0" applyFont="1" applyBorder="1" applyAlignment="1" applyProtection="1">
      <alignment horizontal="center" vertical="center"/>
      <protection/>
    </xf>
    <xf numFmtId="0" fontId="0" fillId="0" borderId="75" xfId="0" applyBorder="1" applyAlignment="1">
      <alignment/>
    </xf>
    <xf numFmtId="0" fontId="0" fillId="0" borderId="76" xfId="0" applyFont="1" applyBorder="1" applyAlignment="1" applyProtection="1">
      <alignment horizontal="center" vertical="center"/>
      <protection/>
    </xf>
    <xf numFmtId="0" fontId="38" fillId="0" borderId="77" xfId="0" applyFont="1" applyBorder="1" applyAlignment="1" applyProtection="1">
      <alignment vertical="center"/>
      <protection/>
    </xf>
    <xf numFmtId="0" fontId="0" fillId="0" borderId="77" xfId="0" applyFont="1" applyBorder="1" applyAlignment="1" applyProtection="1">
      <alignment vertical="center"/>
      <protection/>
    </xf>
    <xf numFmtId="0" fontId="6" fillId="0" borderId="77" xfId="0" applyFont="1" applyBorder="1" applyAlignment="1" applyProtection="1">
      <alignment vertical="center"/>
      <protection/>
    </xf>
    <xf numFmtId="0" fontId="39" fillId="0" borderId="19" xfId="0" applyFont="1" applyBorder="1" applyAlignment="1" applyProtection="1">
      <alignment vertical="center"/>
      <protection/>
    </xf>
    <xf numFmtId="0" fontId="40" fillId="0" borderId="64" xfId="0" applyFont="1" applyBorder="1" applyAlignment="1" applyProtection="1">
      <alignment horizontal="centerContinuous" vertical="center"/>
      <protection/>
    </xf>
    <xf numFmtId="3" fontId="0" fillId="3" borderId="20" xfId="0" applyNumberFormat="1" applyFont="1" applyFill="1" applyBorder="1" applyAlignment="1" applyProtection="1">
      <alignment horizontal="centerContinuous" vertical="center"/>
      <protection locked="0"/>
    </xf>
    <xf numFmtId="0" fontId="0" fillId="0" borderId="19" xfId="0" applyBorder="1" applyAlignment="1">
      <alignment horizontal="centerContinuous"/>
    </xf>
    <xf numFmtId="0" fontId="0" fillId="0" borderId="6" xfId="0" applyFont="1" applyBorder="1" applyAlignment="1" applyProtection="1">
      <alignment vertical="center"/>
      <protection/>
    </xf>
    <xf numFmtId="0" fontId="40" fillId="0" borderId="38" xfId="0" applyFont="1" applyBorder="1" applyAlignment="1" applyProtection="1">
      <alignment horizontal="centerContinuous" vertical="center"/>
      <protection/>
    </xf>
    <xf numFmtId="0" fontId="0" fillId="0" borderId="6" xfId="0" applyBorder="1" applyAlignment="1">
      <alignment horizontal="centerContinuous"/>
    </xf>
    <xf numFmtId="2" fontId="0" fillId="0" borderId="12" xfId="0" applyNumberFormat="1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horizontal="right" vertical="center"/>
      <protection/>
    </xf>
    <xf numFmtId="0" fontId="40" fillId="0" borderId="11" xfId="0" applyFont="1" applyBorder="1" applyAlignment="1">
      <alignment horizontal="centerContinuous" wrapText="1"/>
    </xf>
    <xf numFmtId="176" fontId="40" fillId="0" borderId="39" xfId="0" applyNumberFormat="1" applyFont="1" applyBorder="1" applyAlignment="1" applyProtection="1">
      <alignment horizontal="right" vertical="center"/>
      <protection/>
    </xf>
    <xf numFmtId="0" fontId="40" fillId="0" borderId="28" xfId="0" applyFont="1" applyBorder="1" applyAlignment="1" applyProtection="1">
      <alignment horizontal="right" vertical="center"/>
      <protection/>
    </xf>
    <xf numFmtId="0" fontId="4" fillId="0" borderId="7" xfId="0" applyFont="1" applyBorder="1" applyAlignment="1">
      <alignment vertical="center"/>
    </xf>
    <xf numFmtId="0" fontId="20" fillId="4" borderId="1" xfId="19" applyFont="1" applyFill="1" applyBorder="1" applyAlignment="1" applyProtection="1">
      <alignment vertical="center"/>
      <protection/>
    </xf>
    <xf numFmtId="0" fontId="25" fillId="4" borderId="1" xfId="19" applyFont="1" applyFill="1" applyBorder="1" applyAlignment="1" applyProtection="1">
      <alignment vertical="center"/>
      <protection/>
    </xf>
    <xf numFmtId="0" fontId="20" fillId="4" borderId="63" xfId="19" applyFont="1" applyFill="1" applyBorder="1" applyAlignment="1" applyProtection="1">
      <alignment vertical="center"/>
      <protection/>
    </xf>
    <xf numFmtId="0" fontId="20" fillId="4" borderId="20" xfId="19" applyFont="1" applyFill="1" applyBorder="1" applyAlignment="1" applyProtection="1">
      <alignment vertical="center"/>
      <protection/>
    </xf>
    <xf numFmtId="4" fontId="20" fillId="4" borderId="3" xfId="17" applyNumberFormat="1" applyFont="1" applyFill="1" applyBorder="1" applyAlignment="1" applyProtection="1">
      <alignment vertical="center"/>
      <protection/>
    </xf>
    <xf numFmtId="4" fontId="20" fillId="4" borderId="3" xfId="19" applyNumberFormat="1" applyFont="1" applyFill="1" applyBorder="1" applyAlignment="1" applyProtection="1">
      <alignment vertical="center"/>
      <protection/>
    </xf>
    <xf numFmtId="0" fontId="20" fillId="4" borderId="7" xfId="19" applyFont="1" applyFill="1" applyBorder="1" applyAlignment="1" applyProtection="1">
      <alignment vertical="center"/>
      <protection/>
    </xf>
    <xf numFmtId="0" fontId="27" fillId="4" borderId="64" xfId="19" applyFont="1" applyFill="1" applyBorder="1" applyAlignment="1" applyProtection="1">
      <alignment horizontal="right" vertical="center"/>
      <protection/>
    </xf>
    <xf numFmtId="0" fontId="20" fillId="4" borderId="0" xfId="19" applyFont="1" applyFill="1" applyAlignment="1" applyProtection="1">
      <alignment vertical="center"/>
      <protection/>
    </xf>
    <xf numFmtId="0" fontId="20" fillId="4" borderId="19" xfId="19" applyFont="1" applyFill="1" applyBorder="1" applyAlignment="1" applyProtection="1">
      <alignment vertical="center"/>
      <protection/>
    </xf>
    <xf numFmtId="0" fontId="0" fillId="0" borderId="0" xfId="20" applyFont="1" applyBorder="1" applyAlignment="1" applyProtection="1">
      <alignment horizontal="center" vertical="center"/>
      <protection/>
    </xf>
    <xf numFmtId="0" fontId="5" fillId="0" borderId="0" xfId="20" applyFont="1" applyBorder="1" applyAlignment="1" applyProtection="1">
      <alignment vertical="center"/>
      <protection/>
    </xf>
    <xf numFmtId="0" fontId="0" fillId="0" borderId="0" xfId="20" applyFont="1" applyBorder="1" applyAlignment="1" applyProtection="1">
      <alignment vertical="center"/>
      <protection/>
    </xf>
    <xf numFmtId="0" fontId="31" fillId="0" borderId="0" xfId="19" applyFont="1" applyBorder="1" applyAlignment="1" applyProtection="1">
      <alignment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28" fillId="0" borderId="0" xfId="19" applyFont="1" applyBorder="1" applyAlignment="1" applyProtection="1">
      <alignment horizontal="right" vertical="center"/>
      <protection/>
    </xf>
    <xf numFmtId="0" fontId="27" fillId="0" borderId="0" xfId="19" applyFont="1" applyBorder="1" applyAlignment="1" applyProtection="1">
      <alignment horizontal="right" vertical="center"/>
      <protection/>
    </xf>
    <xf numFmtId="2" fontId="23" fillId="0" borderId="0" xfId="19" applyNumberFormat="1" applyFont="1" applyBorder="1" applyAlignment="1" applyProtection="1">
      <alignment horizontal="centerContinuous" vertical="center"/>
      <protection/>
    </xf>
    <xf numFmtId="0" fontId="34" fillId="0" borderId="0" xfId="20" applyFont="1" applyBorder="1" applyAlignment="1" applyProtection="1">
      <alignment horizontal="centerContinuous" vertical="center"/>
      <protection/>
    </xf>
    <xf numFmtId="0" fontId="0" fillId="4" borderId="19" xfId="0" applyFont="1" applyFill="1" applyBorder="1" applyAlignment="1" applyProtection="1">
      <alignment vertical="center"/>
      <protection/>
    </xf>
    <xf numFmtId="0" fontId="0" fillId="4" borderId="58" xfId="0" applyFont="1" applyFill="1" applyBorder="1" applyAlignment="1" applyProtection="1">
      <alignment vertical="center"/>
      <protection/>
    </xf>
    <xf numFmtId="0" fontId="0" fillId="4" borderId="19" xfId="0" applyFill="1" applyBorder="1" applyAlignment="1" applyProtection="1">
      <alignment/>
      <protection/>
    </xf>
    <xf numFmtId="2" fontId="4" fillId="2" borderId="78" xfId="0" applyNumberFormat="1" applyFont="1" applyFill="1" applyBorder="1" applyAlignment="1" applyProtection="1">
      <alignment horizontal="center" vertical="center"/>
      <protection/>
    </xf>
    <xf numFmtId="2" fontId="4" fillId="2" borderId="79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23" fillId="0" borderId="38" xfId="19" applyFont="1" applyBorder="1" applyAlignment="1" applyProtection="1">
      <alignment vertical="center"/>
      <protection/>
    </xf>
    <xf numFmtId="0" fontId="17" fillId="0" borderId="6" xfId="20" applyFont="1" applyBorder="1" applyAlignment="1" applyProtection="1">
      <alignment vertical="center"/>
      <protection/>
    </xf>
    <xf numFmtId="0" fontId="39" fillId="0" borderId="38" xfId="20" applyFont="1" applyBorder="1" applyAlignment="1" applyProtection="1">
      <alignment horizontal="centerContinuous" vertical="center"/>
      <protection/>
    </xf>
    <xf numFmtId="0" fontId="0" fillId="0" borderId="6" xfId="20" applyFont="1" applyBorder="1" applyAlignment="1" applyProtection="1">
      <alignment horizontal="centerContinuous" vertical="center"/>
      <protection/>
    </xf>
    <xf numFmtId="0" fontId="25" fillId="0" borderId="6" xfId="19" applyFont="1" applyFill="1" applyBorder="1" applyAlignment="1" applyProtection="1">
      <alignment horizontal="centerContinuous" vertical="center"/>
      <protection/>
    </xf>
    <xf numFmtId="0" fontId="20" fillId="0" borderId="6" xfId="19" applyFont="1" applyBorder="1" applyAlignment="1" applyProtection="1">
      <alignment horizontal="centerContinuous" vertical="center"/>
      <protection/>
    </xf>
    <xf numFmtId="0" fontId="0" fillId="0" borderId="64" xfId="20" applyFont="1" applyBorder="1" applyAlignment="1" applyProtection="1">
      <alignment horizontal="centerContinuous" vertical="center"/>
      <protection/>
    </xf>
    <xf numFmtId="0" fontId="5" fillId="4" borderId="20" xfId="20" applyFont="1" applyFill="1" applyBorder="1" applyAlignment="1" applyProtection="1">
      <alignment vertical="center"/>
      <protection/>
    </xf>
    <xf numFmtId="0" fontId="0" fillId="4" borderId="19" xfId="20" applyFont="1" applyFill="1" applyBorder="1" applyAlignment="1" applyProtection="1">
      <alignment vertical="center"/>
      <protection/>
    </xf>
    <xf numFmtId="0" fontId="27" fillId="2" borderId="37" xfId="19" applyFont="1" applyFill="1" applyBorder="1" applyAlignment="1" applyProtection="1">
      <alignment horizontal="center" vertical="center" wrapText="1"/>
      <protection/>
    </xf>
    <xf numFmtId="0" fontId="25" fillId="3" borderId="37" xfId="19" applyFont="1" applyFill="1" applyBorder="1" applyAlignment="1" applyProtection="1">
      <alignment horizontal="center" vertical="center"/>
      <protection locked="0"/>
    </xf>
    <xf numFmtId="0" fontId="25" fillId="2" borderId="20" xfId="19" applyFont="1" applyFill="1" applyBorder="1" applyAlignment="1" applyProtection="1">
      <alignment horizontal="centerContinuous" vertical="center"/>
      <protection/>
    </xf>
    <xf numFmtId="0" fontId="25" fillId="3" borderId="49" xfId="19" applyFont="1" applyFill="1" applyBorder="1" applyAlignment="1" applyProtection="1">
      <alignment horizontal="centerContinuous" vertical="center"/>
      <protection locked="0"/>
    </xf>
    <xf numFmtId="0" fontId="17" fillId="0" borderId="20" xfId="20" applyBorder="1" applyAlignment="1" applyProtection="1">
      <alignment horizontal="centerContinuous" vertical="center"/>
      <protection/>
    </xf>
    <xf numFmtId="0" fontId="17" fillId="0" borderId="24" xfId="20" applyBorder="1" applyAlignment="1" applyProtection="1">
      <alignment horizontal="centerContinuous" vertical="center"/>
      <protection/>
    </xf>
    <xf numFmtId="172" fontId="0" fillId="3" borderId="30" xfId="0" applyNumberFormat="1" applyFont="1" applyFill="1" applyBorder="1" applyAlignment="1" applyProtection="1">
      <alignment vertical="center"/>
      <protection locked="0"/>
    </xf>
    <xf numFmtId="172" fontId="0" fillId="3" borderId="36" xfId="0" applyNumberFormat="1" applyFont="1" applyFill="1" applyBorder="1" applyAlignment="1" applyProtection="1">
      <alignment vertical="center"/>
      <protection locked="0"/>
    </xf>
    <xf numFmtId="172" fontId="0" fillId="3" borderId="14" xfId="0" applyNumberFormat="1" applyFont="1" applyFill="1" applyBorder="1" applyAlignment="1" applyProtection="1">
      <alignment vertical="center"/>
      <protection locked="0"/>
    </xf>
    <xf numFmtId="172" fontId="0" fillId="3" borderId="17" xfId="0" applyNumberFormat="1" applyFont="1" applyFill="1" applyBorder="1" applyAlignment="1" applyProtection="1">
      <alignment vertical="center"/>
      <protection locked="0"/>
    </xf>
    <xf numFmtId="172" fontId="0" fillId="3" borderId="26" xfId="0" applyNumberFormat="1" applyFont="1" applyFill="1" applyBorder="1" applyAlignment="1" applyProtection="1">
      <alignment vertical="center"/>
      <protection locked="0"/>
    </xf>
    <xf numFmtId="2" fontId="20" fillId="2" borderId="0" xfId="19" applyNumberFormat="1" applyFont="1" applyFill="1" applyBorder="1" applyAlignment="1" applyProtection="1">
      <alignment horizontal="center" vertical="center"/>
      <protection/>
    </xf>
    <xf numFmtId="176" fontId="0" fillId="3" borderId="20" xfId="0" applyNumberFormat="1" applyFont="1" applyFill="1" applyBorder="1" applyAlignment="1" applyProtection="1">
      <alignment vertical="center"/>
      <protection locked="0"/>
    </xf>
    <xf numFmtId="0" fontId="5" fillId="0" borderId="6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7" fillId="0" borderId="19" xfId="0" applyFont="1" applyBorder="1" applyAlignment="1" applyProtection="1">
      <alignment vertical="center"/>
      <protection/>
    </xf>
    <xf numFmtId="3" fontId="4" fillId="0" borderId="80" xfId="0" applyNumberFormat="1" applyFont="1" applyBorder="1" applyAlignment="1" applyProtection="1">
      <alignment horizontal="centerContinuous" vertical="center"/>
      <protection/>
    </xf>
    <xf numFmtId="3" fontId="4" fillId="0" borderId="50" xfId="0" applyNumberFormat="1" applyFont="1" applyBorder="1" applyAlignment="1" applyProtection="1">
      <alignment horizontal="centerContinuous" vertical="center"/>
      <protection/>
    </xf>
    <xf numFmtId="0" fontId="0" fillId="0" borderId="81" xfId="0" applyFont="1" applyBorder="1" applyAlignment="1" applyProtection="1">
      <alignment horizontal="center" vertical="center"/>
      <protection/>
    </xf>
    <xf numFmtId="0" fontId="37" fillId="0" borderId="82" xfId="0" applyFont="1" applyBorder="1" applyAlignment="1" applyProtection="1">
      <alignment vertical="center"/>
      <protection/>
    </xf>
    <xf numFmtId="0" fontId="0" fillId="0" borderId="82" xfId="0" applyFont="1" applyBorder="1" applyAlignment="1" applyProtection="1">
      <alignment vertical="center"/>
      <protection/>
    </xf>
    <xf numFmtId="0" fontId="5" fillId="0" borderId="82" xfId="0" applyFont="1" applyBorder="1" applyAlignment="1" applyProtection="1">
      <alignment vertical="center"/>
      <protection/>
    </xf>
    <xf numFmtId="0" fontId="1" fillId="0" borderId="8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41" fillId="0" borderId="0" xfId="0" applyFont="1" applyAlignment="1" applyProtection="1">
      <alignment vertical="center"/>
      <protection/>
    </xf>
    <xf numFmtId="3" fontId="11" fillId="0" borderId="0" xfId="0" applyNumberFormat="1" applyFont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right" vertical="center"/>
      <protection/>
    </xf>
    <xf numFmtId="3" fontId="19" fillId="0" borderId="0" xfId="0" applyNumberFormat="1" applyFont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4" fontId="15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3" fontId="15" fillId="0" borderId="43" xfId="0" applyNumberFormat="1" applyFont="1" applyBorder="1" applyAlignment="1" applyProtection="1">
      <alignment horizontal="right" vertical="center"/>
      <protection/>
    </xf>
    <xf numFmtId="0" fontId="11" fillId="0" borderId="83" xfId="0" applyFont="1" applyBorder="1" applyAlignment="1" applyProtection="1">
      <alignment vertical="center"/>
      <protection/>
    </xf>
    <xf numFmtId="0" fontId="0" fillId="0" borderId="84" xfId="0" applyFont="1" applyBorder="1" applyAlignment="1" applyProtection="1">
      <alignment vertical="center"/>
      <protection/>
    </xf>
    <xf numFmtId="0" fontId="11" fillId="0" borderId="7" xfId="0" applyFont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/>
    </xf>
    <xf numFmtId="4" fontId="11" fillId="0" borderId="7" xfId="0" applyNumberFormat="1" applyFont="1" applyFill="1" applyBorder="1" applyAlignment="1" applyProtection="1">
      <alignment vertical="center"/>
      <protection/>
    </xf>
    <xf numFmtId="3" fontId="11" fillId="0" borderId="45" xfId="0" applyNumberFormat="1" applyFont="1" applyBorder="1" applyAlignment="1" applyProtection="1">
      <alignment horizontal="right" vertical="center"/>
      <protection/>
    </xf>
    <xf numFmtId="0" fontId="0" fillId="0" borderId="85" xfId="0" applyFont="1" applyBorder="1" applyAlignment="1" applyProtection="1">
      <alignment vertical="center"/>
      <protection/>
    </xf>
    <xf numFmtId="0" fontId="0" fillId="0" borderId="86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3" fontId="11" fillId="0" borderId="46" xfId="0" applyNumberFormat="1" applyFont="1" applyBorder="1" applyAlignment="1" applyProtection="1">
      <alignment vertical="center"/>
      <protection/>
    </xf>
    <xf numFmtId="0" fontId="15" fillId="0" borderId="87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3" fontId="15" fillId="0" borderId="47" xfId="0" applyNumberFormat="1" applyFont="1" applyBorder="1" applyAlignment="1" applyProtection="1">
      <alignment vertical="center"/>
      <protection/>
    </xf>
    <xf numFmtId="0" fontId="0" fillId="0" borderId="88" xfId="0" applyFont="1" applyBorder="1" applyAlignment="1" applyProtection="1">
      <alignment vertical="center"/>
      <protection/>
    </xf>
    <xf numFmtId="0" fontId="15" fillId="0" borderId="84" xfId="0" applyFont="1" applyBorder="1" applyAlignment="1" applyProtection="1">
      <alignment vertical="center"/>
      <protection/>
    </xf>
    <xf numFmtId="0" fontId="15" fillId="0" borderId="86" xfId="0" applyFont="1" applyBorder="1" applyAlignment="1" applyProtection="1">
      <alignment vertical="center"/>
      <protection/>
    </xf>
    <xf numFmtId="3" fontId="15" fillId="0" borderId="87" xfId="0" applyNumberFormat="1" applyFont="1" applyBorder="1" applyAlignment="1" applyProtection="1">
      <alignment vertical="center"/>
      <protection/>
    </xf>
    <xf numFmtId="3" fontId="15" fillId="0" borderId="46" xfId="0" applyNumberFormat="1" applyFont="1" applyBorder="1" applyAlignment="1" applyProtection="1">
      <alignment vertical="center"/>
      <protection/>
    </xf>
    <xf numFmtId="0" fontId="14" fillId="0" borderId="89" xfId="0" applyFont="1" applyBorder="1" applyAlignment="1" applyProtection="1">
      <alignment vertical="center"/>
      <protection/>
    </xf>
    <xf numFmtId="0" fontId="14" fillId="0" borderId="82" xfId="0" applyFont="1" applyBorder="1" applyAlignment="1" applyProtection="1">
      <alignment vertical="center"/>
      <protection/>
    </xf>
    <xf numFmtId="0" fontId="10" fillId="0" borderId="90" xfId="0" applyFont="1" applyBorder="1" applyAlignment="1" applyProtection="1">
      <alignment vertical="center"/>
      <protection/>
    </xf>
    <xf numFmtId="0" fontId="11" fillId="0" borderId="86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5" fillId="0" borderId="91" xfId="0" applyFont="1" applyBorder="1" applyAlignment="1" applyProtection="1">
      <alignment vertical="center"/>
      <protection/>
    </xf>
    <xf numFmtId="0" fontId="11" fillId="0" borderId="43" xfId="0" applyFont="1" applyBorder="1" applyAlignment="1" applyProtection="1">
      <alignment vertical="center"/>
      <protection/>
    </xf>
    <xf numFmtId="3" fontId="15" fillId="0" borderId="92" xfId="0" applyNumberFormat="1" applyFont="1" applyBorder="1" applyAlignment="1" applyProtection="1">
      <alignment vertical="center"/>
      <protection/>
    </xf>
    <xf numFmtId="0" fontId="0" fillId="0" borderId="93" xfId="0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44" fillId="0" borderId="0" xfId="19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24" fillId="0" borderId="0" xfId="19" applyFont="1" applyAlignment="1" applyProtection="1">
      <alignment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42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4" fillId="0" borderId="43" xfId="0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0" fillId="0" borderId="83" xfId="0" applyBorder="1" applyAlignment="1" applyProtection="1">
      <alignment vertical="center"/>
      <protection/>
    </xf>
    <xf numFmtId="0" fontId="11" fillId="0" borderId="42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4" fontId="15" fillId="0" borderId="42" xfId="0" applyNumberFormat="1" applyFont="1" applyBorder="1" applyAlignment="1" applyProtection="1">
      <alignment vertical="center"/>
      <protection/>
    </xf>
    <xf numFmtId="0" fontId="15" fillId="0" borderId="42" xfId="0" applyFont="1" applyBorder="1" applyAlignment="1" applyProtection="1">
      <alignment vertical="center"/>
      <protection/>
    </xf>
    <xf numFmtId="0" fontId="14" fillId="0" borderId="42" xfId="0" applyFont="1" applyFill="1" applyBorder="1" applyAlignment="1" applyProtection="1">
      <alignment vertical="center"/>
      <protection/>
    </xf>
    <xf numFmtId="0" fontId="10" fillId="0" borderId="42" xfId="0" applyFont="1" applyFill="1" applyBorder="1" applyAlignment="1" applyProtection="1">
      <alignment vertical="center"/>
      <protection/>
    </xf>
    <xf numFmtId="0" fontId="11" fillId="0" borderId="94" xfId="0" applyFont="1" applyBorder="1" applyAlignment="1" applyProtection="1">
      <alignment vertical="center"/>
      <protection/>
    </xf>
    <xf numFmtId="0" fontId="0" fillId="0" borderId="86" xfId="0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1" fillId="0" borderId="85" xfId="0" applyFont="1" applyBorder="1" applyAlignment="1" applyProtection="1">
      <alignment vertical="center"/>
      <protection/>
    </xf>
    <xf numFmtId="185" fontId="15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183" fontId="15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183" fontId="15" fillId="2" borderId="0" xfId="0" applyNumberFormat="1" applyFont="1" applyFill="1" applyBorder="1" applyAlignment="1" applyProtection="1">
      <alignment vertical="center"/>
      <protection/>
    </xf>
    <xf numFmtId="0" fontId="11" fillId="2" borderId="85" xfId="0" applyFont="1" applyFill="1" applyBorder="1" applyAlignment="1" applyProtection="1">
      <alignment vertical="center"/>
      <protection/>
    </xf>
    <xf numFmtId="185" fontId="15" fillId="0" borderId="0" xfId="0" applyNumberFormat="1" applyFont="1" applyBorder="1" applyAlignment="1" applyProtection="1">
      <alignment horizontal="right" vertical="center"/>
      <protection/>
    </xf>
    <xf numFmtId="0" fontId="0" fillId="0" borderId="85" xfId="0" applyBorder="1" applyAlignment="1" applyProtection="1">
      <alignment vertical="center"/>
      <protection/>
    </xf>
    <xf numFmtId="0" fontId="0" fillId="0" borderId="91" xfId="0" applyBorder="1" applyAlignment="1" applyProtection="1">
      <alignment vertical="center"/>
      <protection/>
    </xf>
    <xf numFmtId="0" fontId="0" fillId="0" borderId="93" xfId="0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2" fontId="19" fillId="0" borderId="0" xfId="0" applyNumberFormat="1" applyFont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 vertical="center"/>
      <protection/>
    </xf>
    <xf numFmtId="185" fontId="15" fillId="2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0" fillId="0" borderId="85" xfId="0" applyBorder="1" applyAlignment="1" applyProtection="1">
      <alignment/>
      <protection/>
    </xf>
    <xf numFmtId="0" fontId="40" fillId="0" borderId="9" xfId="0" applyFont="1" applyBorder="1" applyAlignment="1">
      <alignment horizontal="right" vertical="center"/>
    </xf>
    <xf numFmtId="0" fontId="23" fillId="0" borderId="0" xfId="19" applyFont="1" applyFill="1" applyBorder="1" applyAlignment="1" applyProtection="1">
      <alignment horizontal="center" vertical="center"/>
      <protection/>
    </xf>
    <xf numFmtId="183" fontId="37" fillId="0" borderId="0" xfId="0" applyNumberFormat="1" applyFont="1" applyBorder="1" applyAlignment="1" applyProtection="1">
      <alignment vertical="center"/>
      <protection/>
    </xf>
    <xf numFmtId="3" fontId="11" fillId="0" borderId="46" xfId="0" applyNumberFormat="1" applyFont="1" applyBorder="1" applyAlignment="1" applyProtection="1">
      <alignment horizontal="right" vertical="center"/>
      <protection/>
    </xf>
    <xf numFmtId="3" fontId="15" fillId="0" borderId="47" xfId="0" applyNumberFormat="1" applyFont="1" applyBorder="1" applyAlignment="1" applyProtection="1">
      <alignment horizontal="right" vertical="center"/>
      <protection/>
    </xf>
    <xf numFmtId="3" fontId="15" fillId="0" borderId="47" xfId="0" applyNumberFormat="1" applyFont="1" applyBorder="1" applyAlignment="1" applyProtection="1">
      <alignment horizontal="right" vertical="center"/>
      <protection/>
    </xf>
    <xf numFmtId="3" fontId="15" fillId="0" borderId="92" xfId="0" applyNumberFormat="1" applyFont="1" applyBorder="1" applyAlignment="1" applyProtection="1">
      <alignment horizontal="right" vertical="center"/>
      <protection/>
    </xf>
    <xf numFmtId="3" fontId="36" fillId="0" borderId="14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Alignment="1" applyProtection="1">
      <alignment vertical="center"/>
      <protection/>
    </xf>
    <xf numFmtId="3" fontId="18" fillId="2" borderId="0" xfId="0" applyNumberFormat="1" applyFont="1" applyFill="1" applyBorder="1" applyAlignment="1" applyProtection="1">
      <alignment vertical="center"/>
      <protection/>
    </xf>
    <xf numFmtId="3" fontId="18" fillId="0" borderId="75" xfId="0" applyNumberFormat="1" applyFont="1" applyBorder="1" applyAlignment="1" applyProtection="1">
      <alignment vertical="center"/>
      <protection/>
    </xf>
    <xf numFmtId="3" fontId="4" fillId="0" borderId="95" xfId="0" applyNumberFormat="1" applyFont="1" applyBorder="1" applyAlignment="1" applyProtection="1">
      <alignment horizontal="centerContinuous" vertical="center"/>
      <protection/>
    </xf>
    <xf numFmtId="3" fontId="4" fillId="0" borderId="96" xfId="0" applyNumberFormat="1" applyFont="1" applyBorder="1" applyAlignment="1" applyProtection="1">
      <alignment horizontal="centerContinuous" vertical="center"/>
      <protection/>
    </xf>
    <xf numFmtId="3" fontId="37" fillId="0" borderId="96" xfId="0" applyNumberFormat="1" applyFont="1" applyBorder="1" applyAlignment="1" applyProtection="1">
      <alignment horizontal="centerContinuous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19" fillId="0" borderId="0" xfId="0" applyNumberFormat="1" applyFont="1" applyAlignment="1" applyProtection="1">
      <alignment horizontal="right" vertical="center"/>
      <protection/>
    </xf>
    <xf numFmtId="2" fontId="11" fillId="0" borderId="85" xfId="0" applyNumberFormat="1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/>
      <protection/>
    </xf>
    <xf numFmtId="221" fontId="33" fillId="2" borderId="97" xfId="19" applyNumberFormat="1" applyFont="1" applyFill="1" applyBorder="1" applyAlignment="1" applyProtection="1">
      <alignment horizontal="center" vertical="center"/>
      <protection/>
    </xf>
    <xf numFmtId="221" fontId="37" fillId="0" borderId="22" xfId="0" applyNumberFormat="1" applyFont="1" applyFill="1" applyBorder="1" applyAlignment="1" applyProtection="1">
      <alignment horizontal="centerContinuous" vertical="center"/>
      <protection/>
    </xf>
    <xf numFmtId="221" fontId="37" fillId="0" borderId="98" xfId="0" applyNumberFormat="1" applyFont="1" applyFill="1" applyBorder="1" applyAlignment="1" applyProtection="1">
      <alignment horizontal="centerContinuous" vertical="center"/>
      <protection/>
    </xf>
    <xf numFmtId="221" fontId="4" fillId="0" borderId="2" xfId="0" applyNumberFormat="1" applyFont="1" applyBorder="1" applyAlignment="1" applyProtection="1">
      <alignment horizontal="center" vertical="center"/>
      <protection/>
    </xf>
    <xf numFmtId="221" fontId="4" fillId="0" borderId="78" xfId="0" applyNumberFormat="1" applyFont="1" applyBorder="1" applyAlignment="1" applyProtection="1">
      <alignment horizontal="center" vertical="center"/>
      <protection/>
    </xf>
    <xf numFmtId="221" fontId="4" fillId="2" borderId="0" xfId="0" applyNumberFormat="1" applyFont="1" applyFill="1" applyBorder="1" applyAlignment="1" applyProtection="1">
      <alignment horizontal="center" vertical="center"/>
      <protection/>
    </xf>
    <xf numFmtId="221" fontId="4" fillId="0" borderId="59" xfId="0" applyNumberFormat="1" applyFont="1" applyBorder="1" applyAlignment="1" applyProtection="1">
      <alignment horizontal="center" vertical="center"/>
      <protection/>
    </xf>
    <xf numFmtId="222" fontId="4" fillId="0" borderId="2" xfId="0" applyNumberFormat="1" applyFont="1" applyBorder="1" applyAlignment="1" applyProtection="1">
      <alignment horizontal="center" vertical="center"/>
      <protection/>
    </xf>
    <xf numFmtId="221" fontId="14" fillId="0" borderId="99" xfId="0" applyNumberFormat="1" applyFont="1" applyBorder="1" applyAlignment="1" applyProtection="1">
      <alignment vertical="center"/>
      <protection/>
    </xf>
    <xf numFmtId="221" fontId="14" fillId="0" borderId="82" xfId="0" applyNumberFormat="1" applyFont="1" applyBorder="1" applyAlignment="1" applyProtection="1">
      <alignment vertical="center"/>
      <protection/>
    </xf>
    <xf numFmtId="221" fontId="14" fillId="0" borderId="99" xfId="0" applyNumberFormat="1" applyFont="1" applyBorder="1" applyAlignment="1" applyProtection="1">
      <alignment horizontal="right" vertical="center"/>
      <protection/>
    </xf>
    <xf numFmtId="221" fontId="14" fillId="0" borderId="43" xfId="0" applyNumberFormat="1" applyFont="1" applyFill="1" applyBorder="1" applyAlignment="1" applyProtection="1">
      <alignment vertical="center"/>
      <protection/>
    </xf>
    <xf numFmtId="221" fontId="0" fillId="0" borderId="48" xfId="0" applyNumberFormat="1" applyFont="1" applyFill="1" applyBorder="1" applyAlignment="1" applyProtection="1">
      <alignment vertical="center"/>
      <protection/>
    </xf>
    <xf numFmtId="3" fontId="20" fillId="3" borderId="7" xfId="19" applyNumberFormat="1" applyFont="1" applyFill="1" applyBorder="1" applyAlignment="1" applyProtection="1">
      <alignment vertical="center"/>
      <protection locked="0"/>
    </xf>
    <xf numFmtId="3" fontId="20" fillId="3" borderId="11" xfId="19" applyNumberFormat="1" applyFont="1" applyFill="1" applyBorder="1" applyAlignment="1" applyProtection="1">
      <alignment vertical="center"/>
      <protection locked="0"/>
    </xf>
    <xf numFmtId="0" fontId="48" fillId="0" borderId="0" xfId="19" applyFont="1" applyAlignment="1" applyProtection="1">
      <alignment horizontal="left" vertical="center"/>
      <protection/>
    </xf>
    <xf numFmtId="0" fontId="20" fillId="0" borderId="0" xfId="19" applyFont="1" applyFill="1" applyBorder="1" applyAlignment="1" applyProtection="1">
      <alignment vertical="center"/>
      <protection/>
    </xf>
    <xf numFmtId="0" fontId="20" fillId="3" borderId="9" xfId="19" applyFont="1" applyFill="1" applyBorder="1" applyAlignment="1" applyProtection="1">
      <alignment vertical="center"/>
      <protection/>
    </xf>
    <xf numFmtId="0" fontId="20" fillId="3" borderId="19" xfId="19" applyFont="1" applyFill="1" applyBorder="1" applyAlignment="1" applyProtection="1">
      <alignment vertical="center"/>
      <protection/>
    </xf>
    <xf numFmtId="3" fontId="20" fillId="3" borderId="18" xfId="19" applyNumberFormat="1" applyFont="1" applyFill="1" applyBorder="1" applyAlignment="1" applyProtection="1">
      <alignment vertical="center"/>
      <protection/>
    </xf>
    <xf numFmtId="3" fontId="20" fillId="3" borderId="21" xfId="19" applyNumberFormat="1" applyFont="1" applyFill="1" applyBorder="1" applyAlignment="1" applyProtection="1">
      <alignment vertical="center"/>
      <protection/>
    </xf>
    <xf numFmtId="0" fontId="20" fillId="0" borderId="0" xfId="19" applyFont="1" applyFill="1" applyBorder="1" applyAlignment="1" applyProtection="1">
      <alignment horizontal="centerContinuous" vertical="center"/>
      <protection/>
    </xf>
    <xf numFmtId="3" fontId="20" fillId="0" borderId="0" xfId="19" applyNumberFormat="1" applyFont="1" applyBorder="1" applyAlignment="1" applyProtection="1">
      <alignment horizontal="centerContinuous" vertical="center"/>
      <protection/>
    </xf>
    <xf numFmtId="3" fontId="20" fillId="2" borderId="0" xfId="19" applyNumberFormat="1" applyFont="1" applyFill="1" applyBorder="1" applyAlignment="1" applyProtection="1">
      <alignment horizontal="centerContinuous" vertical="center"/>
      <protection/>
    </xf>
    <xf numFmtId="1" fontId="22" fillId="0" borderId="0" xfId="19" applyNumberFormat="1" applyFont="1" applyFill="1" applyBorder="1" applyAlignment="1" applyProtection="1">
      <alignment horizontal="center" vertical="center"/>
      <protection/>
    </xf>
    <xf numFmtId="3" fontId="23" fillId="0" borderId="2" xfId="19" applyNumberFormat="1" applyFont="1" applyFill="1" applyBorder="1" applyAlignment="1" applyProtection="1">
      <alignment horizontal="centerContinuous" vertical="center"/>
      <protection/>
    </xf>
    <xf numFmtId="3" fontId="25" fillId="2" borderId="1" xfId="19" applyNumberFormat="1" applyFont="1" applyFill="1" applyBorder="1" applyAlignment="1" applyProtection="1">
      <alignment horizontal="center" vertical="center" wrapText="1"/>
      <protection/>
    </xf>
    <xf numFmtId="0" fontId="20" fillId="0" borderId="61" xfId="19" applyFont="1" applyBorder="1" applyAlignment="1" applyProtection="1">
      <alignment horizontal="center" vertical="center"/>
      <protection/>
    </xf>
    <xf numFmtId="172" fontId="20" fillId="3" borderId="20" xfId="19" applyNumberFormat="1" applyFont="1" applyFill="1" applyBorder="1" applyAlignment="1" applyProtection="1">
      <alignment vertical="center"/>
      <protection locked="0"/>
    </xf>
    <xf numFmtId="172" fontId="20" fillId="2" borderId="37" xfId="19" applyNumberFormat="1" applyFont="1" applyFill="1" applyBorder="1" applyAlignment="1" applyProtection="1">
      <alignment vertical="center"/>
      <protection/>
    </xf>
    <xf numFmtId="2" fontId="20" fillId="0" borderId="21" xfId="19" applyNumberFormat="1" applyFont="1" applyBorder="1" applyAlignment="1" applyProtection="1">
      <alignment vertical="center"/>
      <protection/>
    </xf>
    <xf numFmtId="0" fontId="29" fillId="0" borderId="9" xfId="19" applyFont="1" applyBorder="1" applyAlignment="1" applyProtection="1">
      <alignment vertical="center"/>
      <protection/>
    </xf>
    <xf numFmtId="0" fontId="20" fillId="0" borderId="0" xfId="19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0" fillId="0" borderId="46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20" fillId="0" borderId="30" xfId="19" applyFont="1" applyBorder="1" applyAlignment="1" applyProtection="1">
      <alignment vertical="center"/>
      <protection/>
    </xf>
    <xf numFmtId="0" fontId="1" fillId="0" borderId="34" xfId="0" applyFont="1" applyFill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vertical="center"/>
      <protection/>
    </xf>
    <xf numFmtId="172" fontId="0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 applyProtection="1">
      <alignment horizontal="left" vertical="center"/>
      <protection/>
    </xf>
    <xf numFmtId="0" fontId="40" fillId="0" borderId="51" xfId="0" applyFont="1" applyBorder="1" applyAlignment="1" applyProtection="1">
      <alignment horizontal="left" vertical="center"/>
      <protection/>
    </xf>
    <xf numFmtId="0" fontId="20" fillId="0" borderId="36" xfId="19" applyFont="1" applyBorder="1" applyAlignment="1" applyProtection="1">
      <alignment vertical="center"/>
      <protection/>
    </xf>
    <xf numFmtId="0" fontId="0" fillId="0" borderId="100" xfId="0" applyFont="1" applyBorder="1" applyAlignment="1" applyProtection="1">
      <alignment vertical="center"/>
      <protection/>
    </xf>
    <xf numFmtId="0" fontId="0" fillId="3" borderId="100" xfId="0" applyFont="1" applyFill="1" applyBorder="1" applyAlignment="1" applyProtection="1">
      <alignment vertical="center"/>
      <protection locked="0"/>
    </xf>
    <xf numFmtId="0" fontId="0" fillId="3" borderId="101" xfId="0" applyFont="1" applyFill="1" applyBorder="1" applyAlignment="1" applyProtection="1">
      <alignment vertical="center"/>
      <protection locked="0"/>
    </xf>
    <xf numFmtId="0" fontId="0" fillId="2" borderId="44" xfId="0" applyFont="1" applyFill="1" applyBorder="1" applyAlignment="1" applyProtection="1">
      <alignment vertical="center"/>
      <protection/>
    </xf>
    <xf numFmtId="0" fontId="20" fillId="0" borderId="44" xfId="19" applyFont="1" applyBorder="1" applyAlignment="1" applyProtection="1">
      <alignment vertical="center"/>
      <protection/>
    </xf>
    <xf numFmtId="0" fontId="0" fillId="3" borderId="102" xfId="0" applyFont="1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4" borderId="20" xfId="0" applyFont="1" applyFill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Continuous"/>
      <protection/>
    </xf>
    <xf numFmtId="0" fontId="20" fillId="0" borderId="64" xfId="19" applyFont="1" applyBorder="1" applyAlignment="1" applyProtection="1">
      <alignment vertical="center"/>
      <protection/>
    </xf>
    <xf numFmtId="0" fontId="25" fillId="0" borderId="2" xfId="19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Continuous" vertical="center"/>
      <protection/>
    </xf>
    <xf numFmtId="0" fontId="1" fillId="0" borderId="2" xfId="0" applyFont="1" applyFill="1" applyBorder="1" applyAlignment="1" applyProtection="1">
      <alignment horizontal="centerContinuous" vertical="center" wrapText="1"/>
      <protection/>
    </xf>
    <xf numFmtId="0" fontId="25" fillId="0" borderId="7" xfId="19" applyFont="1" applyBorder="1" applyAlignment="1" applyProtection="1">
      <alignment vertical="center"/>
      <protection locked="0"/>
    </xf>
    <xf numFmtId="0" fontId="0" fillId="4" borderId="40" xfId="0" applyFont="1" applyFill="1" applyBorder="1" applyAlignment="1" applyProtection="1">
      <alignment vertical="center"/>
      <protection/>
    </xf>
    <xf numFmtId="0" fontId="20" fillId="4" borderId="11" xfId="19" applyFont="1" applyFill="1" applyBorder="1" applyAlignment="1" applyProtection="1">
      <alignment vertical="center"/>
      <protection/>
    </xf>
    <xf numFmtId="2" fontId="20" fillId="2" borderId="103" xfId="19" applyNumberFormat="1" applyFont="1" applyFill="1" applyBorder="1" applyAlignment="1" applyProtection="1">
      <alignment vertical="center"/>
      <protection/>
    </xf>
    <xf numFmtId="2" fontId="20" fillId="2" borderId="58" xfId="19" applyNumberFormat="1" applyFont="1" applyFill="1" applyBorder="1" applyAlignment="1" applyProtection="1">
      <alignment vertical="center"/>
      <protection/>
    </xf>
    <xf numFmtId="0" fontId="20" fillId="4" borderId="30" xfId="19" applyFont="1" applyFill="1" applyBorder="1" applyAlignment="1" applyProtection="1">
      <alignment vertical="center"/>
      <protection/>
    </xf>
    <xf numFmtId="0" fontId="40" fillId="0" borderId="104" xfId="0" applyFont="1" applyBorder="1" applyAlignment="1" applyProtection="1">
      <alignment horizontal="left" vertical="center"/>
      <protection/>
    </xf>
    <xf numFmtId="0" fontId="40" fillId="0" borderId="5" xfId="0" applyFont="1" applyBorder="1" applyAlignment="1" applyProtection="1">
      <alignment horizontal="left" vertical="center"/>
      <protection/>
    </xf>
    <xf numFmtId="0" fontId="40" fillId="0" borderId="90" xfId="0" applyFont="1" applyBorder="1" applyAlignment="1" applyProtection="1">
      <alignment horizontal="left" vertical="center"/>
      <protection/>
    </xf>
    <xf numFmtId="3" fontId="15" fillId="0" borderId="0" xfId="0" applyNumberFormat="1" applyFont="1" applyBorder="1" applyAlignment="1" applyProtection="1">
      <alignment horizontal="right" vertical="center"/>
      <protection/>
    </xf>
    <xf numFmtId="0" fontId="15" fillId="0" borderId="89" xfId="0" applyFont="1" applyBorder="1" applyAlignment="1" applyProtection="1">
      <alignment vertical="center"/>
      <protection/>
    </xf>
    <xf numFmtId="0" fontId="11" fillId="0" borderId="82" xfId="0" applyFont="1" applyBorder="1" applyAlignment="1" applyProtection="1">
      <alignment vertical="center"/>
      <protection/>
    </xf>
    <xf numFmtId="3" fontId="15" fillId="0" borderId="82" xfId="0" applyNumberFormat="1" applyFont="1" applyBorder="1" applyAlignment="1" applyProtection="1">
      <alignment vertical="center"/>
      <protection/>
    </xf>
    <xf numFmtId="0" fontId="0" fillId="0" borderId="90" xfId="0" applyFont="1" applyBorder="1" applyAlignment="1" applyProtection="1">
      <alignment vertical="center"/>
      <protection/>
    </xf>
    <xf numFmtId="0" fontId="4" fillId="0" borderId="44" xfId="20" applyFont="1" applyBorder="1" applyAlignment="1" applyProtection="1">
      <alignment vertical="center"/>
      <protection/>
    </xf>
    <xf numFmtId="0" fontId="0" fillId="0" borderId="44" xfId="20" applyFont="1" applyBorder="1" applyAlignment="1" applyProtection="1">
      <alignment vertical="center"/>
      <protection/>
    </xf>
    <xf numFmtId="0" fontId="22" fillId="0" borderId="44" xfId="19" applyFont="1" applyBorder="1" applyAlignment="1" applyProtection="1">
      <alignment horizontal="right" vertical="center"/>
      <protection/>
    </xf>
    <xf numFmtId="2" fontId="22" fillId="2" borderId="103" xfId="19" applyNumberFormat="1" applyFont="1" applyFill="1" applyBorder="1" applyAlignment="1" applyProtection="1">
      <alignment vertical="center"/>
      <protection/>
    </xf>
    <xf numFmtId="2" fontId="22" fillId="2" borderId="44" xfId="19" applyNumberFormat="1" applyFont="1" applyFill="1" applyBorder="1" applyAlignment="1" applyProtection="1">
      <alignment vertical="center"/>
      <protection/>
    </xf>
    <xf numFmtId="2" fontId="22" fillId="2" borderId="105" xfId="19" applyNumberFormat="1" applyFont="1" applyFill="1" applyBorder="1" applyAlignment="1" applyProtection="1">
      <alignment vertical="center"/>
      <protection/>
    </xf>
    <xf numFmtId="0" fontId="0" fillId="0" borderId="106" xfId="0" applyFont="1" applyBorder="1" applyAlignment="1" applyProtection="1">
      <alignment horizontal="centerContinuous" vertical="center"/>
      <protection/>
    </xf>
    <xf numFmtId="0" fontId="40" fillId="0" borderId="30" xfId="0" applyFont="1" applyBorder="1" applyAlignment="1" applyProtection="1">
      <alignment horizontal="left" vertical="center"/>
      <protection/>
    </xf>
    <xf numFmtId="2" fontId="20" fillId="0" borderId="3" xfId="19" applyNumberFormat="1" applyFont="1" applyBorder="1" applyAlignment="1" applyProtection="1">
      <alignment vertical="center"/>
      <protection/>
    </xf>
    <xf numFmtId="0" fontId="40" fillId="0" borderId="5" xfId="0" applyFont="1" applyBorder="1" applyAlignment="1" applyProtection="1">
      <alignment vertical="center"/>
      <protection/>
    </xf>
    <xf numFmtId="0" fontId="40" fillId="0" borderId="39" xfId="0" applyFont="1" applyBorder="1" applyAlignment="1">
      <alignment horizontal="right" vertical="center"/>
    </xf>
    <xf numFmtId="0" fontId="40" fillId="0" borderId="64" xfId="0" applyFont="1" applyBorder="1" applyAlignment="1" applyProtection="1">
      <alignment horizontal="left" vertical="center"/>
      <protection/>
    </xf>
    <xf numFmtId="0" fontId="11" fillId="0" borderId="48" xfId="0" applyFont="1" applyFill="1" applyBorder="1" applyAlignment="1" applyProtection="1">
      <alignment horizontal="left" vertical="center" wrapText="1"/>
      <protection/>
    </xf>
    <xf numFmtId="0" fontId="11" fillId="0" borderId="107" xfId="0" applyFont="1" applyFill="1" applyBorder="1" applyAlignment="1" applyProtection="1">
      <alignment horizontal="left" vertical="center" wrapText="1"/>
      <protection/>
    </xf>
    <xf numFmtId="221" fontId="14" fillId="0" borderId="108" xfId="0" applyNumberFormat="1" applyFont="1" applyFill="1" applyBorder="1" applyAlignment="1" applyProtection="1">
      <alignment vertical="center"/>
      <protection/>
    </xf>
    <xf numFmtId="221" fontId="0" fillId="0" borderId="109" xfId="0" applyNumberFormat="1" applyFont="1" applyFill="1" applyBorder="1" applyAlignment="1" applyProtection="1">
      <alignment vertical="center"/>
      <protection/>
    </xf>
    <xf numFmtId="2" fontId="25" fillId="0" borderId="2" xfId="19" applyNumberFormat="1" applyFont="1" applyFill="1" applyBorder="1" applyAlignment="1" applyProtection="1">
      <alignment horizontal="center" vertical="center"/>
      <protection/>
    </xf>
    <xf numFmtId="0" fontId="20" fillId="0" borderId="0" xfId="19" applyFont="1" applyAlignment="1" applyProtection="1">
      <alignment horizontal="centerContinuous" vertical="center" wrapText="1"/>
      <protection/>
    </xf>
    <xf numFmtId="0" fontId="0" fillId="0" borderId="0" xfId="0" applyFont="1" applyAlignment="1">
      <alignment horizontal="center" vertical="center" wrapText="1"/>
    </xf>
    <xf numFmtId="4" fontId="20" fillId="3" borderId="4" xfId="19" applyNumberFormat="1" applyFont="1" applyFill="1" applyBorder="1" applyAlignment="1" applyProtection="1">
      <alignment vertical="center"/>
      <protection locked="0"/>
    </xf>
    <xf numFmtId="172" fontId="0" fillId="3" borderId="14" xfId="0" applyNumberFormat="1" applyFont="1" applyFill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 applyProtection="1">
      <alignment horizontal="center" vertical="center"/>
      <protection/>
    </xf>
    <xf numFmtId="172" fontId="20" fillId="0" borderId="14" xfId="19" applyNumberFormat="1" applyFont="1" applyBorder="1" applyAlignment="1" applyProtection="1">
      <alignment horizontal="center" vertical="center"/>
      <protection/>
    </xf>
    <xf numFmtId="0" fontId="40" fillId="0" borderId="100" xfId="0" applyFont="1" applyBorder="1" applyAlignment="1" applyProtection="1">
      <alignment vertical="center"/>
      <protection/>
    </xf>
    <xf numFmtId="172" fontId="0" fillId="2" borderId="67" xfId="0" applyNumberFormat="1" applyFont="1" applyFill="1" applyBorder="1" applyAlignment="1" applyProtection="1">
      <alignment horizontal="center" vertical="center"/>
      <protection/>
    </xf>
    <xf numFmtId="3" fontId="20" fillId="0" borderId="37" xfId="19" applyNumberFormat="1" applyFont="1" applyFill="1" applyBorder="1" applyAlignment="1" applyProtection="1">
      <alignment horizontal="center" vertical="center"/>
      <protection/>
    </xf>
    <xf numFmtId="0" fontId="4" fillId="0" borderId="11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0" fillId="0" borderId="111" xfId="0" applyFont="1" applyBorder="1" applyAlignment="1" applyProtection="1">
      <alignment horizontal="center" vertical="center"/>
      <protection/>
    </xf>
    <xf numFmtId="0" fontId="0" fillId="0" borderId="112" xfId="0" applyFont="1" applyBorder="1" applyAlignment="1" applyProtection="1">
      <alignment vertical="center"/>
      <protection/>
    </xf>
    <xf numFmtId="0" fontId="40" fillId="0" borderId="113" xfId="0" applyFont="1" applyBorder="1" applyAlignment="1" applyProtection="1">
      <alignment horizontal="right" vertical="center"/>
      <protection/>
    </xf>
    <xf numFmtId="0" fontId="0" fillId="0" borderId="114" xfId="0" applyFont="1" applyBorder="1" applyAlignment="1" applyProtection="1">
      <alignment vertical="center"/>
      <protection/>
    </xf>
    <xf numFmtId="222" fontId="4" fillId="0" borderId="115" xfId="0" applyNumberFormat="1" applyFont="1" applyBorder="1" applyAlignment="1" applyProtection="1">
      <alignment horizontal="center" vertical="center"/>
      <protection/>
    </xf>
    <xf numFmtId="0" fontId="4" fillId="2" borderId="114" xfId="0" applyFont="1" applyFill="1" applyBorder="1" applyAlignment="1" applyProtection="1">
      <alignment horizontal="center" vertical="center"/>
      <protection/>
    </xf>
    <xf numFmtId="0" fontId="40" fillId="0" borderId="24" xfId="0" applyFont="1" applyBorder="1" applyAlignment="1" applyProtection="1">
      <alignment horizontal="left" vertical="center"/>
      <protection/>
    </xf>
    <xf numFmtId="0" fontId="0" fillId="4" borderId="2" xfId="0" applyFill="1" applyBorder="1" applyAlignment="1" applyProtection="1">
      <alignment/>
      <protection/>
    </xf>
    <xf numFmtId="0" fontId="0" fillId="0" borderId="116" xfId="0" applyFont="1" applyBorder="1" applyAlignment="1" applyProtection="1">
      <alignment vertical="center"/>
      <protection/>
    </xf>
    <xf numFmtId="0" fontId="0" fillId="4" borderId="116" xfId="0" applyFont="1" applyFill="1" applyBorder="1" applyAlignment="1" applyProtection="1">
      <alignment vertical="center"/>
      <protection/>
    </xf>
    <xf numFmtId="0" fontId="0" fillId="4" borderId="43" xfId="0" applyFont="1" applyFill="1" applyBorder="1" applyAlignment="1" applyProtection="1">
      <alignment vertical="center"/>
      <protection/>
    </xf>
    <xf numFmtId="3" fontId="20" fillId="3" borderId="37" xfId="19" applyNumberFormat="1" applyFont="1" applyFill="1" applyBorder="1" applyAlignment="1" applyProtection="1">
      <alignment vertical="center"/>
      <protection locked="0"/>
    </xf>
    <xf numFmtId="4" fontId="20" fillId="0" borderId="117" xfId="19" applyNumberFormat="1" applyFont="1" applyFill="1" applyBorder="1" applyAlignment="1" applyProtection="1">
      <alignment vertical="center"/>
      <protection/>
    </xf>
    <xf numFmtId="1" fontId="25" fillId="3" borderId="2" xfId="19" applyNumberFormat="1" applyFont="1" applyFill="1" applyBorder="1" applyAlignment="1" applyProtection="1">
      <alignment horizontal="center" vertical="center"/>
      <protection locked="0"/>
    </xf>
    <xf numFmtId="0" fontId="20" fillId="0" borderId="17" xfId="19" applyFont="1" applyFill="1" applyBorder="1" applyAlignment="1" applyProtection="1">
      <alignment horizontal="right" vertical="center"/>
      <protection/>
    </xf>
    <xf numFmtId="4" fontId="20" fillId="3" borderId="102" xfId="17" applyNumberFormat="1" applyFont="1" applyFill="1" applyBorder="1" applyAlignment="1" applyProtection="1">
      <alignment vertical="center"/>
      <protection locked="0"/>
    </xf>
    <xf numFmtId="0" fontId="25" fillId="0" borderId="34" xfId="20" applyFont="1" applyBorder="1" applyAlignment="1" applyProtection="1">
      <alignment horizontal="center" vertical="center" wrapText="1"/>
      <protection/>
    </xf>
    <xf numFmtId="3" fontId="22" fillId="0" borderId="34" xfId="19" applyNumberFormat="1" applyFont="1" applyBorder="1" applyAlignment="1" applyProtection="1">
      <alignment horizontal="center" vertical="center"/>
      <protection/>
    </xf>
    <xf numFmtId="3" fontId="22" fillId="2" borderId="34" xfId="19" applyNumberFormat="1" applyFont="1" applyFill="1" applyBorder="1" applyAlignment="1" applyProtection="1">
      <alignment horizontal="center" vertical="center"/>
      <protection/>
    </xf>
    <xf numFmtId="3" fontId="23" fillId="0" borderId="89" xfId="19" applyNumberFormat="1" applyFont="1" applyBorder="1" applyAlignment="1" applyProtection="1">
      <alignment horizontal="center" vertical="center"/>
      <protection/>
    </xf>
    <xf numFmtId="3" fontId="23" fillId="0" borderId="34" xfId="19" applyNumberFormat="1" applyFont="1" applyFill="1" applyBorder="1" applyAlignment="1" applyProtection="1">
      <alignment horizontal="centerContinuous" vertical="center"/>
      <protection/>
    </xf>
    <xf numFmtId="1" fontId="22" fillId="2" borderId="34" xfId="19" applyNumberFormat="1" applyFont="1" applyFill="1" applyBorder="1" applyAlignment="1" applyProtection="1">
      <alignment horizontal="center" vertical="center"/>
      <protection/>
    </xf>
    <xf numFmtId="3" fontId="22" fillId="0" borderId="34" xfId="19" applyNumberFormat="1" applyFont="1" applyBorder="1" applyAlignment="1" applyProtection="1">
      <alignment horizontal="center" vertical="center"/>
      <protection/>
    </xf>
    <xf numFmtId="1" fontId="22" fillId="2" borderId="34" xfId="19" applyNumberFormat="1" applyFont="1" applyFill="1" applyBorder="1" applyAlignment="1" applyProtection="1">
      <alignment horizontal="center" vertical="center"/>
      <protection/>
    </xf>
    <xf numFmtId="1" fontId="22" fillId="0" borderId="34" xfId="19" applyNumberFormat="1" applyFont="1" applyFill="1" applyBorder="1" applyAlignment="1" applyProtection="1">
      <alignment horizontal="center" vertical="center"/>
      <protection/>
    </xf>
    <xf numFmtId="3" fontId="23" fillId="0" borderId="89" xfId="19" applyNumberFormat="1" applyFont="1" applyBorder="1" applyAlignment="1" applyProtection="1">
      <alignment horizontal="centerContinuous" vertical="center"/>
      <protection/>
    </xf>
    <xf numFmtId="221" fontId="33" fillId="0" borderId="118" xfId="19" applyNumberFormat="1" applyFont="1" applyBorder="1" applyAlignment="1" applyProtection="1">
      <alignment horizontal="center" vertical="center"/>
      <protection/>
    </xf>
    <xf numFmtId="0" fontId="25" fillId="0" borderId="0" xfId="19" applyFont="1" applyBorder="1" applyAlignment="1" applyProtection="1">
      <alignment horizontal="center" vertical="center"/>
      <protection/>
    </xf>
    <xf numFmtId="3" fontId="20" fillId="0" borderId="26" xfId="19" applyNumberFormat="1" applyFont="1" applyBorder="1" applyAlignment="1" applyProtection="1">
      <alignment vertical="center"/>
      <protection/>
    </xf>
    <xf numFmtId="3" fontId="23" fillId="0" borderId="0" xfId="19" applyNumberFormat="1" applyFont="1" applyBorder="1" applyAlignment="1" applyProtection="1">
      <alignment horizontal="centerContinuous" vertical="center"/>
      <protection/>
    </xf>
    <xf numFmtId="1" fontId="34" fillId="0" borderId="2" xfId="20" applyNumberFormat="1" applyFont="1" applyBorder="1" applyAlignment="1" applyProtection="1">
      <alignment horizontal="centerContinuous" vertical="center"/>
      <protection/>
    </xf>
    <xf numFmtId="3" fontId="0" fillId="2" borderId="18" xfId="0" applyNumberFormat="1" applyFont="1" applyFill="1" applyBorder="1" applyAlignment="1" applyProtection="1">
      <alignment vertical="center"/>
      <protection/>
    </xf>
    <xf numFmtId="3" fontId="0" fillId="2" borderId="21" xfId="0" applyNumberFormat="1" applyFont="1" applyFill="1" applyBorder="1" applyAlignment="1" applyProtection="1">
      <alignment vertical="center"/>
      <protection/>
    </xf>
    <xf numFmtId="3" fontId="15" fillId="0" borderId="99" xfId="0" applyNumberFormat="1" applyFont="1" applyBorder="1" applyAlignment="1" applyProtection="1">
      <alignment horizontal="right" vertical="center"/>
      <protection/>
    </xf>
    <xf numFmtId="0" fontId="27" fillId="0" borderId="0" xfId="19" applyFont="1" applyBorder="1" applyAlignment="1" applyProtection="1">
      <alignment horizontal="left" vertical="center"/>
      <protection/>
    </xf>
    <xf numFmtId="0" fontId="23" fillId="3" borderId="34" xfId="19" applyFont="1" applyFill="1" applyBorder="1" applyAlignment="1" applyProtection="1">
      <alignment horizontal="center" vertical="center"/>
      <protection locked="0"/>
    </xf>
    <xf numFmtId="0" fontId="23" fillId="3" borderId="1" xfId="19" applyFont="1" applyFill="1" applyBorder="1" applyAlignment="1" applyProtection="1">
      <alignment horizontal="center" vertical="center"/>
      <protection locked="0"/>
    </xf>
    <xf numFmtId="0" fontId="23" fillId="3" borderId="5" xfId="19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40" fillId="0" borderId="0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23" fillId="5" borderId="34" xfId="19" applyFont="1" applyFill="1" applyBorder="1" applyAlignment="1" applyProtection="1">
      <alignment horizontal="center" vertical="center"/>
      <protection/>
    </xf>
    <xf numFmtId="0" fontId="23" fillId="5" borderId="1" xfId="19" applyFont="1" applyFill="1" applyBorder="1" applyAlignment="1" applyProtection="1">
      <alignment horizontal="center" vertical="center"/>
      <protection/>
    </xf>
    <xf numFmtId="0" fontId="23" fillId="5" borderId="5" xfId="19" applyFont="1" applyFill="1" applyBorder="1" applyAlignment="1" applyProtection="1">
      <alignment horizontal="center" vertical="center"/>
      <protection/>
    </xf>
    <xf numFmtId="0" fontId="0" fillId="0" borderId="4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" fillId="0" borderId="34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left" vertical="center"/>
      <protection/>
    </xf>
    <xf numFmtId="0" fontId="0" fillId="0" borderId="110" xfId="20" applyFont="1" applyBorder="1" applyAlignment="1" applyProtection="1">
      <alignment horizontal="left" vertical="center"/>
      <protection/>
    </xf>
    <xf numFmtId="0" fontId="0" fillId="0" borderId="6" xfId="20" applyFont="1" applyBorder="1" applyAlignment="1" applyProtection="1">
      <alignment horizontal="left" vertical="center"/>
      <protection/>
    </xf>
    <xf numFmtId="0" fontId="0" fillId="0" borderId="23" xfId="20" applyFont="1" applyBorder="1" applyAlignment="1" applyProtection="1">
      <alignment horizontal="left" vertical="center"/>
      <protection/>
    </xf>
    <xf numFmtId="0" fontId="37" fillId="5" borderId="34" xfId="0" applyFont="1" applyFill="1" applyBorder="1" applyAlignment="1" applyProtection="1">
      <alignment horizontal="center" vertical="center"/>
      <protection/>
    </xf>
    <xf numFmtId="0" fontId="37" fillId="5" borderId="1" xfId="0" applyFont="1" applyFill="1" applyBorder="1" applyAlignment="1" applyProtection="1">
      <alignment horizontal="center" vertical="center"/>
      <protection/>
    </xf>
    <xf numFmtId="0" fontId="37" fillId="5" borderId="5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" borderId="67" xfId="0" applyFont="1" applyFill="1" applyBorder="1" applyAlignment="1" applyProtection="1">
      <alignment horizontal="left" vertical="center"/>
      <protection locked="0"/>
    </xf>
    <xf numFmtId="0" fontId="0" fillId="3" borderId="30" xfId="0" applyFont="1" applyFill="1" applyBorder="1" applyAlignment="1" applyProtection="1">
      <alignment horizontal="left" vertical="center"/>
      <protection locked="0"/>
    </xf>
    <xf numFmtId="0" fontId="0" fillId="3" borderId="103" xfId="0" applyFont="1" applyFill="1" applyBorder="1" applyAlignment="1" applyProtection="1">
      <alignment horizontal="left" vertical="center"/>
      <protection locked="0"/>
    </xf>
    <xf numFmtId="0" fontId="0" fillId="3" borderId="58" xfId="0" applyFont="1" applyFill="1" applyBorder="1" applyAlignment="1" applyProtection="1">
      <alignment horizontal="left" vertical="center"/>
      <protection locked="0"/>
    </xf>
    <xf numFmtId="0" fontId="15" fillId="5" borderId="34" xfId="0" applyFont="1" applyFill="1" applyBorder="1" applyAlignment="1" applyProtection="1">
      <alignment horizontal="center" vertical="center"/>
      <protection/>
    </xf>
    <xf numFmtId="0" fontId="15" fillId="5" borderId="1" xfId="0" applyFont="1" applyFill="1" applyBorder="1" applyAlignment="1" applyProtection="1">
      <alignment horizontal="center" vertical="center"/>
      <protection/>
    </xf>
    <xf numFmtId="0" fontId="15" fillId="5" borderId="5" xfId="0" applyFont="1" applyFill="1" applyBorder="1" applyAlignment="1" applyProtection="1">
      <alignment horizontal="center" vertical="center"/>
      <protection/>
    </xf>
    <xf numFmtId="3" fontId="15" fillId="0" borderId="119" xfId="0" applyNumberFormat="1" applyFont="1" applyBorder="1" applyAlignment="1" applyProtection="1">
      <alignment horizontal="center" vertical="center"/>
      <protection/>
    </xf>
    <xf numFmtId="3" fontId="15" fillId="0" borderId="120" xfId="0" applyNumberFormat="1" applyFont="1" applyBorder="1" applyAlignment="1" applyProtection="1">
      <alignment horizontal="center" vertical="center"/>
      <protection/>
    </xf>
    <xf numFmtId="3" fontId="15" fillId="0" borderId="121" xfId="0" applyNumberFormat="1" applyFont="1" applyBorder="1" applyAlignment="1" applyProtection="1">
      <alignment horizontal="center" vertical="center"/>
      <protection/>
    </xf>
    <xf numFmtId="0" fontId="14" fillId="0" borderId="83" xfId="0" applyFont="1" applyFill="1" applyBorder="1" applyAlignment="1" applyProtection="1">
      <alignment vertical="center" wrapText="1"/>
      <protection/>
    </xf>
    <xf numFmtId="0" fontId="0" fillId="0" borderId="42" xfId="0" applyBorder="1" applyAlignment="1">
      <alignment vertical="center" wrapText="1"/>
    </xf>
    <xf numFmtId="0" fontId="0" fillId="0" borderId="122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221" fontId="14" fillId="0" borderId="123" xfId="0" applyNumberFormat="1" applyFont="1" applyFill="1" applyBorder="1" applyAlignment="1" applyProtection="1">
      <alignment horizontal="center" vertical="center"/>
      <protection/>
    </xf>
    <xf numFmtId="221" fontId="14" fillId="0" borderId="124" xfId="0" applyNumberFormat="1" applyFont="1" applyFill="1" applyBorder="1" applyAlignment="1" applyProtection="1">
      <alignment horizontal="center" vertical="center"/>
      <protection/>
    </xf>
    <xf numFmtId="221" fontId="14" fillId="0" borderId="92" xfId="0" applyNumberFormat="1" applyFont="1" applyFill="1" applyBorder="1" applyAlignment="1" applyProtection="1">
      <alignment horizontal="center" vertical="center"/>
      <protection/>
    </xf>
    <xf numFmtId="221" fontId="14" fillId="0" borderId="93" xfId="0" applyNumberFormat="1" applyFont="1" applyFill="1" applyBorder="1" applyAlignment="1" applyProtection="1">
      <alignment horizontal="center" vertical="center"/>
      <protection/>
    </xf>
    <xf numFmtId="3" fontId="13" fillId="0" borderId="123" xfId="0" applyNumberFormat="1" applyFont="1" applyFill="1" applyBorder="1" applyAlignment="1" applyProtection="1">
      <alignment horizontal="center" vertical="center"/>
      <protection/>
    </xf>
    <xf numFmtId="3" fontId="13" fillId="0" borderId="124" xfId="0" applyNumberFormat="1" applyFont="1" applyFill="1" applyBorder="1" applyAlignment="1" applyProtection="1">
      <alignment horizontal="center" vertical="center"/>
      <protection/>
    </xf>
    <xf numFmtId="3" fontId="13" fillId="0" borderId="92" xfId="0" applyNumberFormat="1" applyFont="1" applyFill="1" applyBorder="1" applyAlignment="1" applyProtection="1">
      <alignment horizontal="center" vertical="center"/>
      <protection/>
    </xf>
    <xf numFmtId="3" fontId="13" fillId="0" borderId="93" xfId="0" applyNumberFormat="1" applyFont="1" applyFill="1" applyBorder="1" applyAlignment="1" applyProtection="1">
      <alignment horizontal="center" vertical="center"/>
      <protection/>
    </xf>
    <xf numFmtId="0" fontId="46" fillId="5" borderId="34" xfId="0" applyFont="1" applyFill="1" applyBorder="1" applyAlignment="1" applyProtection="1">
      <alignment horizontal="center" vertical="center"/>
      <protection/>
    </xf>
    <xf numFmtId="0" fontId="46" fillId="5" borderId="1" xfId="0" applyFont="1" applyFill="1" applyBorder="1" applyAlignment="1" applyProtection="1">
      <alignment horizontal="center" vertical="center"/>
      <protection/>
    </xf>
    <xf numFmtId="0" fontId="46" fillId="5" borderId="5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Dezimal_Seite1" xfId="17"/>
    <cellStyle name="Percent" xfId="18"/>
    <cellStyle name="Standard_Seite1" xfId="19"/>
    <cellStyle name="Standard_TPle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Kosten je Jungpferd</a:t>
            </a:r>
          </a:p>
        </c:rich>
      </c:tx>
      <c:layout>
        <c:manualLayout>
          <c:xMode val="factor"/>
          <c:yMode val="factor"/>
          <c:x val="-0.082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23925"/>
          <c:w val="0.43425"/>
          <c:h val="0.66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ave">
                <a:fgClr>
                  <a:srgbClr val="CCFFCC"/>
                </a:fgClr>
                <a:bgClr>
                  <a:srgbClr val="336666"/>
                </a:bgClr>
              </a:pattFill>
            </c:spPr>
          </c:dPt>
          <c:dPt>
            <c:idx val="1"/>
            <c:spPr>
              <a:pattFill prst="wd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Check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olidDmnd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horzBrick">
                <a:fgClr>
                  <a:srgbClr val="0080C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Vert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\ [$€-1]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('Folie 1'!$C$12:$C$17,'Folie 1'!$C$20:$C$24)</c:f>
              <c:strCache>
                <c:ptCount val="10"/>
                <c:pt idx="0">
                  <c:v> Bestandsergänzung</c:v>
                </c:pt>
                <c:pt idx="1">
                  <c:v> Aufzuchtkosten</c:v>
                </c:pt>
                <c:pt idx="2">
                  <c:v> Futter</c:v>
                </c:pt>
                <c:pt idx="3">
                  <c:v> Sonstige variable Kosten</c:v>
                </c:pt>
                <c:pt idx="4">
                  <c:v> Variable Lohnkosten</c:v>
                </c:pt>
                <c:pt idx="5">
                  <c:v> Zinsansatz</c:v>
                </c:pt>
                <c:pt idx="6">
                  <c:v>Feste Maschinenkosten Tierhaltung</c:v>
                </c:pt>
                <c:pt idx="7">
                  <c:v>Feste Gebäudekosten Tierhaltung</c:v>
                </c:pt>
                <c:pt idx="8">
                  <c:v>Arbeitskosten der ständigen AK</c:v>
                </c:pt>
                <c:pt idx="9">
                  <c:v>Sonstige Fest- u. Gemeinkosten</c:v>
                </c:pt>
              </c:strCache>
            </c:strRef>
          </c:cat>
          <c:val>
            <c:numRef>
              <c:f>('Folie 1'!$J$12:$J$17,'Folie 1'!$J$20:$J$24)</c:f>
              <c:numCache>
                <c:ptCount val="10"/>
                <c:pt idx="0">
                  <c:v>3000</c:v>
                </c:pt>
                <c:pt idx="1">
                  <c:v>0</c:v>
                </c:pt>
                <c:pt idx="2">
                  <c:v>1389</c:v>
                </c:pt>
                <c:pt idx="3">
                  <c:v>1790</c:v>
                </c:pt>
                <c:pt idx="4">
                  <c:v>0</c:v>
                </c:pt>
                <c:pt idx="5">
                  <c:v>736.11</c:v>
                </c:pt>
                <c:pt idx="6">
                  <c:v>78.8</c:v>
                </c:pt>
                <c:pt idx="7">
                  <c:v>300</c:v>
                </c:pt>
                <c:pt idx="8">
                  <c:v>1518</c:v>
                </c:pt>
                <c:pt idx="9">
                  <c:v>140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25"/>
          <c:y val="0.109"/>
          <c:w val="0.34425"/>
          <c:h val="0.733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 zoomScale="75"/>
  </sheetViews>
  <pageMargins left="0.75" right="0.65" top="0.69" bottom="0.83" header="0.36" footer="0.4921259845"/>
  <pageSetup horizontalDpi="600" verticalDpi="600" orientation="landscape" paperSize="9"/>
  <headerFooter>
    <oddFooter>&amp;LLEL Schwäbisch Gmünd, Abt.2&amp;C&amp;F&amp;A&amp;R&amp;D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</cdr:x>
      <cdr:y>0.90575</cdr:y>
    </cdr:from>
    <cdr:to>
      <cdr:x>0.77775</cdr:x>
      <cdr:y>0.95175</cdr:y>
    </cdr:to>
    <cdr:sp textlink="'Seite 3'!$L$27">
      <cdr:nvSpPr>
        <cdr:cNvPr id="1" name="TextBox 1"/>
        <cdr:cNvSpPr txBox="1">
          <a:spLocks noChangeArrowheads="1"/>
        </cdr:cNvSpPr>
      </cdr:nvSpPr>
      <cdr:spPr>
        <a:xfrm>
          <a:off x="6457950" y="5581650"/>
          <a:ext cx="819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a930c7b-57d1-44a6-b5b9-37f77f7f1d33}" type="TxLink"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8.708</a:t>
          </a:fld>
        </a:p>
      </cdr:txBody>
    </cdr:sp>
  </cdr:relSizeAnchor>
  <cdr:relSizeAnchor xmlns:cdr="http://schemas.openxmlformats.org/drawingml/2006/chartDrawing">
    <cdr:from>
      <cdr:x>0.51575</cdr:x>
      <cdr:y>0.85975</cdr:y>
    </cdr:from>
    <cdr:to>
      <cdr:x>0.98075</cdr:x>
      <cdr:y>0.9055</cdr:y>
    </cdr:to>
    <cdr:sp>
      <cdr:nvSpPr>
        <cdr:cNvPr id="2" name="TextBox 2"/>
        <cdr:cNvSpPr txBox="1">
          <a:spLocks noChangeArrowheads="1"/>
        </cdr:cNvSpPr>
      </cdr:nvSpPr>
      <cdr:spPr>
        <a:xfrm>
          <a:off x="4819650" y="5295900"/>
          <a:ext cx="4352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Summe Kosten (abzgl. Nebenleistungen) in €: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62675"/>
    <xdr:graphicFrame>
      <xdr:nvGraphicFramePr>
        <xdr:cNvPr id="1" name="Shape 1025"/>
        <xdr:cNvGraphicFramePr/>
      </xdr:nvGraphicFramePr>
      <xdr:xfrm>
        <a:off x="0" y="0"/>
        <a:ext cx="93630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oKo_ZuStu%2005.04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 1 "/>
      <sheetName val="Seite 2"/>
      <sheetName val="Seite 3"/>
      <sheetName val="Seite 4"/>
      <sheetName val="Folie 1"/>
      <sheetName val="Folie 2"/>
      <sheetName val="Dia"/>
      <sheetName val="Stammdat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showGridLines="0" showZeros="0" tabSelected="1" workbookViewId="0" topLeftCell="A1">
      <selection activeCell="T17" sqref="T17"/>
    </sheetView>
  </sheetViews>
  <sheetFormatPr defaultColWidth="11.421875" defaultRowHeight="12.75"/>
  <cols>
    <col min="1" max="1" width="1.7109375" style="5" customWidth="1"/>
    <col min="2" max="2" width="3.00390625" style="13" customWidth="1"/>
    <col min="3" max="3" width="2.8515625" style="5" customWidth="1"/>
    <col min="4" max="4" width="3.7109375" style="5" customWidth="1"/>
    <col min="5" max="5" width="6.7109375" style="5" customWidth="1"/>
    <col min="6" max="6" width="11.28125" style="5" customWidth="1"/>
    <col min="7" max="7" width="12.00390625" style="5" customWidth="1"/>
    <col min="8" max="9" width="8.7109375" style="5" customWidth="1"/>
    <col min="10" max="10" width="10.421875" style="5" customWidth="1"/>
    <col min="11" max="11" width="9.7109375" style="5" customWidth="1"/>
    <col min="12" max="12" width="2.7109375" style="5" customWidth="1"/>
    <col min="13" max="13" width="9.421875" style="5" hidden="1" customWidth="1"/>
    <col min="14" max="14" width="2.7109375" style="30" customWidth="1"/>
    <col min="15" max="15" width="16.28125" style="5" customWidth="1"/>
    <col min="16" max="16" width="8.7109375" style="5" customWidth="1"/>
    <col min="17" max="18" width="0" style="5" hidden="1" customWidth="1"/>
    <col min="19" max="19" width="24.7109375" style="5" hidden="1" customWidth="1"/>
    <col min="20" max="16384" width="11.421875" style="5" customWidth="1"/>
  </cols>
  <sheetData>
    <row r="1" ht="9" customHeight="1">
      <c r="A1" s="3"/>
    </row>
    <row r="2" spans="2:16" ht="23.25">
      <c r="B2" s="405" t="s">
        <v>0</v>
      </c>
      <c r="C2" s="4"/>
      <c r="D2" s="4"/>
      <c r="H2"/>
      <c r="I2" s="776" t="s">
        <v>230</v>
      </c>
      <c r="J2" s="777"/>
      <c r="K2" s="777"/>
      <c r="L2" s="777"/>
      <c r="M2" s="777"/>
      <c r="N2" s="777"/>
      <c r="O2" s="778"/>
      <c r="P2" s="6"/>
    </row>
    <row r="3" spans="2:15" ht="15">
      <c r="B3" s="409" t="s">
        <v>229</v>
      </c>
      <c r="H3" s="6"/>
      <c r="I3"/>
      <c r="J3"/>
      <c r="K3" s="7"/>
      <c r="L3" s="6"/>
      <c r="M3" s="12"/>
      <c r="N3" s="146"/>
      <c r="O3" s="6"/>
    </row>
    <row r="4" spans="2:15" ht="18" customHeight="1">
      <c r="B4" s="656" t="s">
        <v>199</v>
      </c>
      <c r="I4"/>
      <c r="J4" s="8"/>
      <c r="K4" s="9"/>
      <c r="M4" s="8"/>
      <c r="N4" s="8"/>
      <c r="O4" s="10"/>
    </row>
    <row r="5" spans="3:19" ht="24" customHeight="1">
      <c r="C5" s="775"/>
      <c r="D5" s="775"/>
      <c r="E5" s="775"/>
      <c r="F5" s="489" t="s">
        <v>243</v>
      </c>
      <c r="G5" s="14">
        <v>5</v>
      </c>
      <c r="H5" s="30"/>
      <c r="I5" s="780" t="s">
        <v>231</v>
      </c>
      <c r="J5" s="781"/>
      <c r="K5" s="754">
        <v>30</v>
      </c>
      <c r="N5" s="5"/>
      <c r="Q5" s="408" t="s">
        <v>2</v>
      </c>
      <c r="R5" s="657"/>
      <c r="S5" s="729">
        <v>1</v>
      </c>
    </row>
    <row r="6" spans="10:15" ht="9" customHeight="1">
      <c r="J6" s="8"/>
      <c r="K6" s="9"/>
      <c r="M6" s="8"/>
      <c r="N6" s="8"/>
      <c r="O6" s="10"/>
    </row>
    <row r="7" spans="2:15" ht="25.5">
      <c r="B7" s="367">
        <v>1</v>
      </c>
      <c r="C7" s="473"/>
      <c r="D7" s="473"/>
      <c r="E7" s="474"/>
      <c r="F7" s="473"/>
      <c r="G7" s="473"/>
      <c r="H7" s="473"/>
      <c r="I7" s="15" t="str">
        <f>VLOOKUP(Stammdaten!C3,Stammdaten!B4:D24,3)</f>
        <v> Stück</v>
      </c>
      <c r="J7" s="667" t="s">
        <v>185</v>
      </c>
      <c r="K7" s="16" t="s">
        <v>174</v>
      </c>
      <c r="L7" s="17"/>
      <c r="M7" s="757" t="s">
        <v>184</v>
      </c>
      <c r="N7" s="768"/>
      <c r="O7" s="18" t="s">
        <v>240</v>
      </c>
    </row>
    <row r="8" spans="5:18" ht="9" customHeight="1">
      <c r="E8" s="19"/>
      <c r="Q8"/>
      <c r="R8"/>
    </row>
    <row r="9" spans="2:18" ht="18" customHeight="1">
      <c r="B9" s="368">
        <f>B7+1</f>
        <v>2</v>
      </c>
      <c r="C9" s="20" t="s">
        <v>212</v>
      </c>
      <c r="D9" s="20"/>
      <c r="E9" s="20"/>
      <c r="F9" s="21"/>
      <c r="G9" s="22"/>
      <c r="H9" s="22"/>
      <c r="I9" s="22"/>
      <c r="J9" s="21"/>
      <c r="K9" s="23"/>
      <c r="L9" s="24"/>
      <c r="M9" s="758">
        <f>K10+K11+K12+K13</f>
        <v>8000</v>
      </c>
      <c r="N9" s="146"/>
      <c r="O9" s="25">
        <f>M9/$I$10</f>
        <v>8000</v>
      </c>
      <c r="Q9"/>
      <c r="R9"/>
    </row>
    <row r="10" spans="2:18" ht="15" customHeight="1">
      <c r="B10" s="368">
        <f>B9+1</f>
        <v>3</v>
      </c>
      <c r="C10" s="26"/>
      <c r="D10" s="27" t="s">
        <v>3</v>
      </c>
      <c r="E10" s="27" t="s">
        <v>4</v>
      </c>
      <c r="F10" s="28"/>
      <c r="G10" s="432" t="s">
        <v>241</v>
      </c>
      <c r="H10" s="307"/>
      <c r="I10" s="753">
        <v>1</v>
      </c>
      <c r="J10" s="654">
        <v>8000</v>
      </c>
      <c r="K10" s="29">
        <f>I10*J10</f>
        <v>8000</v>
      </c>
      <c r="L10" s="6"/>
      <c r="M10" s="334"/>
      <c r="N10" s="146"/>
      <c r="O10" s="335"/>
      <c r="P10" s="6"/>
      <c r="Q10"/>
      <c r="R10"/>
    </row>
    <row r="11" spans="2:18" ht="12.75" customHeight="1">
      <c r="B11" s="369">
        <f>B10+1</f>
        <v>4</v>
      </c>
      <c r="C11" s="30"/>
      <c r="D11" s="31" t="s">
        <v>3</v>
      </c>
      <c r="E11" s="31" t="s">
        <v>5</v>
      </c>
      <c r="F11" s="32"/>
      <c r="G11" s="432"/>
      <c r="H11" s="375"/>
      <c r="I11" s="34"/>
      <c r="J11" s="655"/>
      <c r="K11" s="36">
        <f>I11*J11</f>
        <v>0</v>
      </c>
      <c r="L11" s="6"/>
      <c r="M11" s="8"/>
      <c r="N11" s="146"/>
      <c r="O11" s="10"/>
      <c r="P11" s="6"/>
      <c r="Q11"/>
      <c r="R11"/>
    </row>
    <row r="12" spans="2:18" ht="12" customHeight="1">
      <c r="B12" s="369">
        <f>B11+1</f>
        <v>5</v>
      </c>
      <c r="C12" s="37"/>
      <c r="D12" s="31" t="s">
        <v>3</v>
      </c>
      <c r="E12" s="33"/>
      <c r="F12" s="376"/>
      <c r="G12" s="432">
        <v>0</v>
      </c>
      <c r="H12" s="375"/>
      <c r="I12" s="34"/>
      <c r="J12" s="35"/>
      <c r="K12" s="36">
        <f>I12*J12</f>
        <v>0</v>
      </c>
      <c r="L12" s="6"/>
      <c r="M12" s="8"/>
      <c r="N12" s="146"/>
      <c r="O12" s="10"/>
      <c r="P12" s="6"/>
      <c r="Q12"/>
      <c r="R12"/>
    </row>
    <row r="13" spans="2:18" ht="12" customHeight="1">
      <c r="B13" s="369">
        <f>B12+1</f>
        <v>6</v>
      </c>
      <c r="C13" s="32"/>
      <c r="D13" s="31" t="s">
        <v>3</v>
      </c>
      <c r="E13" s="38"/>
      <c r="F13" s="235"/>
      <c r="G13" s="433"/>
      <c r="H13" s="235"/>
      <c r="I13" s="39"/>
      <c r="J13" s="40"/>
      <c r="K13" s="41">
        <f>I13*J13</f>
        <v>0</v>
      </c>
      <c r="L13" s="6"/>
      <c r="M13" s="8"/>
      <c r="N13" s="146"/>
      <c r="O13" s="10"/>
      <c r="P13" s="6"/>
      <c r="Q13"/>
      <c r="R13"/>
    </row>
    <row r="14" spans="2:18" s="30" customFormat="1" ht="18.75" customHeight="1">
      <c r="B14" s="369">
        <f>B13+1</f>
        <v>7</v>
      </c>
      <c r="C14" s="397" t="s">
        <v>6</v>
      </c>
      <c r="D14" s="381"/>
      <c r="E14" s="381"/>
      <c r="G14" s="410" t="s">
        <v>7</v>
      </c>
      <c r="H14" s="411" t="s">
        <v>8</v>
      </c>
      <c r="I14" s="412" t="s">
        <v>9</v>
      </c>
      <c r="J14" s="413" t="s">
        <v>10</v>
      </c>
      <c r="K14" s="414" t="s">
        <v>11</v>
      </c>
      <c r="L14" s="6"/>
      <c r="M14" s="759">
        <f>K16+K17+K18+K19+K20</f>
        <v>243.6</v>
      </c>
      <c r="N14" s="146"/>
      <c r="O14" s="44">
        <f>M14/$I$10</f>
        <v>243.6</v>
      </c>
      <c r="P14" s="6"/>
      <c r="Q14"/>
      <c r="R14"/>
    </row>
    <row r="15" spans="2:18" s="30" customFormat="1" ht="24.75" customHeight="1">
      <c r="B15" s="398"/>
      <c r="C15" s="42"/>
      <c r="D15" s="43"/>
      <c r="E15" s="43"/>
      <c r="F15" s="5"/>
      <c r="G15" s="415" t="s">
        <v>12</v>
      </c>
      <c r="H15" s="416" t="s">
        <v>13</v>
      </c>
      <c r="I15" s="417" t="s">
        <v>14</v>
      </c>
      <c r="J15" s="418" t="s">
        <v>15</v>
      </c>
      <c r="K15" s="419" t="s">
        <v>173</v>
      </c>
      <c r="L15" s="6"/>
      <c r="M15" s="395"/>
      <c r="N15" s="146"/>
      <c r="O15" s="396"/>
      <c r="P15" s="6"/>
      <c r="Q15"/>
      <c r="R15"/>
    </row>
    <row r="16" spans="2:18" s="30" customFormat="1" ht="12" customHeight="1">
      <c r="B16" s="369">
        <f>B14+1</f>
        <v>8</v>
      </c>
      <c r="C16" s="45"/>
      <c r="D16" s="45" t="s">
        <v>3</v>
      </c>
      <c r="E16" s="46" t="s">
        <v>16</v>
      </c>
      <c r="F16" s="32"/>
      <c r="G16" s="47">
        <f>54*K5/12</f>
        <v>135</v>
      </c>
      <c r="H16" s="48">
        <v>40</v>
      </c>
      <c r="I16" s="49">
        <f>G16-(G16*H16/100)</f>
        <v>81</v>
      </c>
      <c r="J16" s="50">
        <v>0.8</v>
      </c>
      <c r="K16" s="51">
        <f>I16*J16</f>
        <v>64.8</v>
      </c>
      <c r="L16" s="6"/>
      <c r="M16" s="336"/>
      <c r="N16" s="146"/>
      <c r="O16" s="336"/>
      <c r="P16" s="6"/>
      <c r="Q16"/>
      <c r="R16"/>
    </row>
    <row r="17" spans="2:18" s="30" customFormat="1" ht="12" customHeight="1">
      <c r="B17" s="369">
        <f aca="true" t="shared" si="0" ref="B17:B23">B16+1</f>
        <v>9</v>
      </c>
      <c r="C17" s="45"/>
      <c r="D17" s="45" t="s">
        <v>3</v>
      </c>
      <c r="E17" s="46" t="s">
        <v>17</v>
      </c>
      <c r="F17" s="5"/>
      <c r="G17" s="47">
        <f>24.6*K5/12</f>
        <v>61.5</v>
      </c>
      <c r="H17" s="475"/>
      <c r="I17" s="49">
        <f>G17</f>
        <v>61.5</v>
      </c>
      <c r="J17" s="50">
        <v>0.8</v>
      </c>
      <c r="K17" s="51">
        <f>I17*J17</f>
        <v>49.2</v>
      </c>
      <c r="L17" s="6"/>
      <c r="M17" s="336"/>
      <c r="N17" s="146"/>
      <c r="O17" s="336"/>
      <c r="P17" s="6"/>
      <c r="Q17"/>
      <c r="R17"/>
    </row>
    <row r="18" spans="2:18" s="30" customFormat="1" ht="12" customHeight="1">
      <c r="B18" s="369">
        <f t="shared" si="0"/>
        <v>10</v>
      </c>
      <c r="C18" s="45"/>
      <c r="D18" s="45" t="s">
        <v>3</v>
      </c>
      <c r="E18" s="46" t="s">
        <v>18</v>
      </c>
      <c r="F18" s="32"/>
      <c r="G18" s="47">
        <f>86.4*K5/12</f>
        <v>216</v>
      </c>
      <c r="H18" s="475"/>
      <c r="I18" s="49">
        <f>G18</f>
        <v>216</v>
      </c>
      <c r="J18" s="50">
        <v>0.6</v>
      </c>
      <c r="K18" s="51">
        <f>I18*J18</f>
        <v>129.6</v>
      </c>
      <c r="L18" s="6"/>
      <c r="M18" s="336"/>
      <c r="N18" s="146"/>
      <c r="O18" s="336"/>
      <c r="P18" s="6"/>
      <c r="Q18"/>
      <c r="R18"/>
    </row>
    <row r="19" spans="2:18" s="30" customFormat="1" ht="12.75" customHeight="1">
      <c r="B19" s="369">
        <f t="shared" si="0"/>
        <v>11</v>
      </c>
      <c r="C19" s="45"/>
      <c r="D19" s="45" t="s">
        <v>3</v>
      </c>
      <c r="E19" s="52"/>
      <c r="F19" s="46"/>
      <c r="G19" s="47"/>
      <c r="H19" s="475"/>
      <c r="I19" s="49">
        <f>G19</f>
        <v>0</v>
      </c>
      <c r="J19" s="50"/>
      <c r="K19" s="51">
        <f>I19*J19</f>
        <v>0</v>
      </c>
      <c r="L19" s="6"/>
      <c r="M19" s="336"/>
      <c r="N19" s="146"/>
      <c r="O19" s="336"/>
      <c r="P19" s="6"/>
      <c r="Q19"/>
      <c r="R19"/>
    </row>
    <row r="20" spans="2:16" ht="12.75" customHeight="1">
      <c r="B20" s="668">
        <f t="shared" si="0"/>
        <v>12</v>
      </c>
      <c r="C20" s="60"/>
      <c r="D20" s="60" t="s">
        <v>3</v>
      </c>
      <c r="E20" s="61"/>
      <c r="F20" s="338"/>
      <c r="G20" s="669"/>
      <c r="H20" s="476"/>
      <c r="I20" s="670">
        <f>G20</f>
        <v>0</v>
      </c>
      <c r="J20" s="75"/>
      <c r="K20" s="671">
        <f>I20*J20</f>
        <v>0</v>
      </c>
      <c r="L20" s="6"/>
      <c r="M20" s="336"/>
      <c r="N20" s="146"/>
      <c r="O20" s="336"/>
      <c r="P20" s="6"/>
    </row>
    <row r="21" spans="2:15" ht="18" customHeight="1" hidden="1">
      <c r="B21" s="367">
        <f t="shared" si="0"/>
        <v>13</v>
      </c>
      <c r="C21" s="54" t="s">
        <v>19</v>
      </c>
      <c r="D21" s="54"/>
      <c r="E21" s="55"/>
      <c r="F21" s="55"/>
      <c r="G21" s="56"/>
      <c r="H21" s="22"/>
      <c r="I21" s="21"/>
      <c r="J21" s="21"/>
      <c r="K21" s="57"/>
      <c r="M21" s="336"/>
      <c r="N21" s="65"/>
      <c r="O21" s="336"/>
    </row>
    <row r="22" spans="2:15" ht="12" customHeight="1" hidden="1">
      <c r="B22" s="370">
        <f t="shared" si="0"/>
        <v>14</v>
      </c>
      <c r="C22" s="45"/>
      <c r="D22" s="45" t="s">
        <v>3</v>
      </c>
      <c r="E22" s="46" t="s">
        <v>20</v>
      </c>
      <c r="F22" s="46"/>
      <c r="G22" s="234"/>
      <c r="H22" s="658"/>
      <c r="I22" s="46"/>
      <c r="J22" s="475"/>
      <c r="K22" s="660"/>
      <c r="M22" s="336"/>
      <c r="N22" s="65"/>
      <c r="O22" s="336"/>
    </row>
    <row r="23" spans="2:15" ht="12" customHeight="1" hidden="1">
      <c r="B23" s="370">
        <f t="shared" si="0"/>
        <v>15</v>
      </c>
      <c r="C23" s="45"/>
      <c r="D23" s="45" t="s">
        <v>3</v>
      </c>
      <c r="E23" s="235" t="s">
        <v>21</v>
      </c>
      <c r="F23" s="46"/>
      <c r="G23" s="234"/>
      <c r="H23" s="658"/>
      <c r="I23" s="46"/>
      <c r="J23" s="475"/>
      <c r="K23" s="660"/>
      <c r="M23" s="336"/>
      <c r="N23" s="65"/>
      <c r="O23" s="336"/>
    </row>
    <row r="24" spans="2:15" ht="12" customHeight="1" hidden="1">
      <c r="B24" s="371">
        <f>B22+1</f>
        <v>15</v>
      </c>
      <c r="C24" s="60"/>
      <c r="D24" s="60" t="s">
        <v>3</v>
      </c>
      <c r="E24" s="659"/>
      <c r="F24" s="338"/>
      <c r="G24" s="377"/>
      <c r="H24" s="659"/>
      <c r="I24" s="338"/>
      <c r="J24" s="476"/>
      <c r="K24" s="661"/>
      <c r="M24" s="336"/>
      <c r="N24" s="65"/>
      <c r="O24" s="336"/>
    </row>
    <row r="25" spans="5:16" ht="9" customHeight="1" thickBot="1">
      <c r="E25" s="30"/>
      <c r="F25" s="8"/>
      <c r="G25" s="8"/>
      <c r="H25" s="8"/>
      <c r="I25" s="8"/>
      <c r="J25" s="30"/>
      <c r="K25" s="30"/>
      <c r="L25" s="64"/>
      <c r="N25" s="65"/>
      <c r="O25" s="58"/>
      <c r="P25" s="65"/>
    </row>
    <row r="26" spans="2:16" ht="19.5" customHeight="1" thickBot="1">
      <c r="B26" s="367">
        <f>B20+1</f>
        <v>13</v>
      </c>
      <c r="C26" s="66" t="s">
        <v>22</v>
      </c>
      <c r="D26" s="66"/>
      <c r="E26" s="66"/>
      <c r="F26" s="21"/>
      <c r="G26" s="22"/>
      <c r="H26" s="22"/>
      <c r="I26" s="22"/>
      <c r="J26" s="21"/>
      <c r="K26" s="23"/>
      <c r="L26" s="24"/>
      <c r="M26" s="760">
        <f>M9+M14</f>
        <v>8243.6</v>
      </c>
      <c r="N26" s="769"/>
      <c r="O26" s="67">
        <f>O9+O14</f>
        <v>8243.6</v>
      </c>
      <c r="P26" s="6"/>
    </row>
    <row r="27" spans="2:7" ht="9" customHeight="1">
      <c r="B27" s="68"/>
      <c r="C27" s="30"/>
      <c r="D27" s="30"/>
      <c r="E27" s="30"/>
      <c r="F27" s="69"/>
      <c r="G27" s="69"/>
    </row>
    <row r="28" spans="2:16" ht="18" customHeight="1">
      <c r="B28" s="372">
        <f>B26+1</f>
        <v>14</v>
      </c>
      <c r="C28" s="70" t="s">
        <v>23</v>
      </c>
      <c r="D28" s="70"/>
      <c r="E28" s="71"/>
      <c r="F28" s="72"/>
      <c r="G28" s="73"/>
      <c r="H28" s="74"/>
      <c r="I28" s="420" t="s">
        <v>227</v>
      </c>
      <c r="J28" s="421" t="s">
        <v>185</v>
      </c>
      <c r="K28" s="422" t="s">
        <v>168</v>
      </c>
      <c r="M28" s="761">
        <f>K29</f>
        <v>3000</v>
      </c>
      <c r="N28" s="662"/>
      <c r="O28" s="666">
        <f>M28/$I$10</f>
        <v>3000</v>
      </c>
      <c r="P28" s="6"/>
    </row>
    <row r="29" spans="2:16" ht="12" customHeight="1">
      <c r="B29" s="371">
        <f aca="true" t="shared" si="1" ref="B29:B54">B28+1</f>
        <v>15</v>
      </c>
      <c r="C29" s="60"/>
      <c r="D29" s="60"/>
      <c r="E29" s="61" t="s">
        <v>232</v>
      </c>
      <c r="F29" s="378"/>
      <c r="G29" s="379"/>
      <c r="H29" s="380"/>
      <c r="I29" s="756">
        <v>1</v>
      </c>
      <c r="J29" s="752">
        <v>3000</v>
      </c>
      <c r="K29" s="76">
        <f>I29*J29</f>
        <v>3000</v>
      </c>
      <c r="M29" s="8"/>
      <c r="N29" s="8"/>
      <c r="O29" s="8"/>
      <c r="P29" s="6"/>
    </row>
    <row r="30" spans="2:16" ht="18" customHeight="1">
      <c r="B30" s="370">
        <f t="shared" si="1"/>
        <v>16</v>
      </c>
      <c r="C30" s="77" t="s">
        <v>24</v>
      </c>
      <c r="D30" s="77"/>
      <c r="E30" s="46"/>
      <c r="F30" s="43"/>
      <c r="G30" s="78"/>
      <c r="H30" s="423" t="s">
        <v>25</v>
      </c>
      <c r="I30" s="424" t="s">
        <v>175</v>
      </c>
      <c r="J30" s="425" t="s">
        <v>26</v>
      </c>
      <c r="K30" s="426" t="s">
        <v>27</v>
      </c>
      <c r="M30" s="762">
        <f>J31+K31</f>
        <v>0</v>
      </c>
      <c r="N30" s="337"/>
      <c r="O30" s="666">
        <f>M30/$I$10</f>
        <v>0</v>
      </c>
      <c r="P30" s="6"/>
    </row>
    <row r="31" spans="2:16" ht="12" customHeight="1">
      <c r="B31" s="370">
        <f t="shared" si="1"/>
        <v>17</v>
      </c>
      <c r="C31" s="30"/>
      <c r="D31" s="30"/>
      <c r="E31" s="53"/>
      <c r="F31" s="381"/>
      <c r="G31" s="382"/>
      <c r="H31" s="79"/>
      <c r="I31" s="80"/>
      <c r="J31" s="361">
        <f>H31*I31</f>
        <v>0</v>
      </c>
      <c r="K31" s="81"/>
      <c r="M31" s="8"/>
      <c r="N31" s="8"/>
      <c r="O31" s="8"/>
      <c r="P31" s="6"/>
    </row>
    <row r="32" spans="2:16" ht="24">
      <c r="B32" s="372">
        <f t="shared" si="1"/>
        <v>18</v>
      </c>
      <c r="C32" s="82" t="s">
        <v>193</v>
      </c>
      <c r="D32" s="82"/>
      <c r="E32" s="83"/>
      <c r="F32" s="28"/>
      <c r="G32" s="427" t="s">
        <v>28</v>
      </c>
      <c r="H32" s="429" t="s">
        <v>29</v>
      </c>
      <c r="I32" s="428" t="str">
        <f>VLOOKUP(Stammdaten!C27,Stammdaten!B28:C35,2)</f>
        <v>10 MJ DE</v>
      </c>
      <c r="J32" s="402"/>
      <c r="K32" s="85"/>
      <c r="M32" s="761">
        <f>K43</f>
        <v>1389</v>
      </c>
      <c r="N32" s="662"/>
      <c r="O32" s="666">
        <f>M32/$I$10</f>
        <v>1389</v>
      </c>
      <c r="P32" s="6"/>
    </row>
    <row r="33" spans="2:20" ht="12" customHeight="1">
      <c r="B33" s="370">
        <f t="shared" si="1"/>
        <v>19</v>
      </c>
      <c r="C33" s="672"/>
      <c r="D33" s="86"/>
      <c r="E33" s="64"/>
      <c r="F33" s="30"/>
      <c r="G33" s="84" t="s">
        <v>233</v>
      </c>
      <c r="H33" s="87" t="s">
        <v>235</v>
      </c>
      <c r="I33" s="88" t="s">
        <v>30</v>
      </c>
      <c r="J33" s="84" t="s">
        <v>234</v>
      </c>
      <c r="K33" s="430" t="s">
        <v>168</v>
      </c>
      <c r="M33" s="339"/>
      <c r="N33" s="337"/>
      <c r="O33" s="337"/>
      <c r="P33" s="6"/>
      <c r="S33"/>
      <c r="T33"/>
    </row>
    <row r="34" spans="2:20" ht="12" customHeight="1">
      <c r="B34" s="370">
        <f t="shared" si="1"/>
        <v>20</v>
      </c>
      <c r="C34" s="45"/>
      <c r="D34" s="45" t="s">
        <v>3</v>
      </c>
      <c r="E34" s="89" t="s">
        <v>31</v>
      </c>
      <c r="F34" s="89"/>
      <c r="G34" s="90">
        <v>24</v>
      </c>
      <c r="H34" s="91"/>
      <c r="I34" s="92">
        <f>G34*H34</f>
        <v>0</v>
      </c>
      <c r="J34" s="91">
        <v>18</v>
      </c>
      <c r="K34" s="93">
        <f aca="true" t="shared" si="2" ref="K34:K42">G34*J34</f>
        <v>432</v>
      </c>
      <c r="M34" s="8"/>
      <c r="N34" s="8"/>
      <c r="O34" s="8"/>
      <c r="P34" s="6"/>
      <c r="S34"/>
      <c r="T34"/>
    </row>
    <row r="35" spans="2:20" ht="12" customHeight="1">
      <c r="B35" s="370">
        <f t="shared" si="1"/>
        <v>21</v>
      </c>
      <c r="C35" s="45"/>
      <c r="D35" s="45" t="s">
        <v>3</v>
      </c>
      <c r="E35" s="52" t="s">
        <v>32</v>
      </c>
      <c r="F35" s="46"/>
      <c r="G35" s="94">
        <v>10</v>
      </c>
      <c r="H35" s="91"/>
      <c r="I35" s="92">
        <f aca="true" t="shared" si="3" ref="I35:I42">G35*H35</f>
        <v>0</v>
      </c>
      <c r="J35" s="91">
        <v>25</v>
      </c>
      <c r="K35" s="93">
        <f t="shared" si="2"/>
        <v>250</v>
      </c>
      <c r="M35" s="8"/>
      <c r="N35" s="8"/>
      <c r="O35" s="8"/>
      <c r="P35" s="6"/>
      <c r="S35"/>
      <c r="T35"/>
    </row>
    <row r="36" spans="2:20" ht="12" customHeight="1">
      <c r="B36" s="370">
        <f t="shared" si="1"/>
        <v>22</v>
      </c>
      <c r="C36" s="45"/>
      <c r="D36" s="45" t="s">
        <v>3</v>
      </c>
      <c r="E36" s="52" t="s">
        <v>194</v>
      </c>
      <c r="F36" s="46"/>
      <c r="G36" s="94"/>
      <c r="H36" s="91"/>
      <c r="I36" s="92">
        <f t="shared" si="3"/>
        <v>0</v>
      </c>
      <c r="J36" s="91"/>
      <c r="K36" s="93">
        <f t="shared" si="2"/>
        <v>0</v>
      </c>
      <c r="M36" s="8"/>
      <c r="N36" s="8"/>
      <c r="O36" s="8"/>
      <c r="P36" s="6"/>
      <c r="S36"/>
      <c r="T36"/>
    </row>
    <row r="37" spans="2:20" ht="12" customHeight="1">
      <c r="B37" s="370">
        <f t="shared" si="1"/>
        <v>23</v>
      </c>
      <c r="C37" s="45"/>
      <c r="D37" s="45" t="s">
        <v>3</v>
      </c>
      <c r="E37" s="52" t="s">
        <v>195</v>
      </c>
      <c r="F37" s="46"/>
      <c r="G37" s="94"/>
      <c r="H37" s="91"/>
      <c r="I37" s="92">
        <f t="shared" si="3"/>
        <v>0</v>
      </c>
      <c r="J37" s="91"/>
      <c r="K37" s="93">
        <f t="shared" si="2"/>
        <v>0</v>
      </c>
      <c r="M37" s="8"/>
      <c r="N37" s="8"/>
      <c r="O37" s="8"/>
      <c r="P37" s="6"/>
      <c r="S37"/>
      <c r="T37"/>
    </row>
    <row r="38" spans="2:20" ht="12" customHeight="1">
      <c r="B38" s="370">
        <f t="shared" si="1"/>
        <v>24</v>
      </c>
      <c r="C38" s="45"/>
      <c r="D38" s="45" t="s">
        <v>3</v>
      </c>
      <c r="E38" s="52" t="s">
        <v>196</v>
      </c>
      <c r="F38" s="46"/>
      <c r="G38" s="94">
        <v>30</v>
      </c>
      <c r="H38" s="91"/>
      <c r="I38" s="92">
        <f t="shared" si="3"/>
        <v>0</v>
      </c>
      <c r="J38" s="91">
        <v>12</v>
      </c>
      <c r="K38" s="93">
        <f t="shared" si="2"/>
        <v>360</v>
      </c>
      <c r="M38" s="8"/>
      <c r="N38" s="8"/>
      <c r="O38" s="8"/>
      <c r="P38" s="6"/>
      <c r="S38"/>
      <c r="T38"/>
    </row>
    <row r="39" spans="2:20" ht="12" customHeight="1">
      <c r="B39" s="370">
        <f t="shared" si="1"/>
        <v>25</v>
      </c>
      <c r="C39" s="45"/>
      <c r="D39" s="45" t="s">
        <v>3</v>
      </c>
      <c r="E39" s="52" t="s">
        <v>242</v>
      </c>
      <c r="F39" s="46"/>
      <c r="G39" s="94">
        <v>100</v>
      </c>
      <c r="H39" s="91"/>
      <c r="I39" s="92">
        <f t="shared" si="3"/>
        <v>0</v>
      </c>
      <c r="J39" s="95">
        <v>3</v>
      </c>
      <c r="K39" s="93">
        <f t="shared" si="2"/>
        <v>300</v>
      </c>
      <c r="M39" s="8"/>
      <c r="N39" s="8"/>
      <c r="O39" s="8"/>
      <c r="P39" s="6"/>
      <c r="S39"/>
      <c r="T39"/>
    </row>
    <row r="40" spans="2:20" ht="12" customHeight="1">
      <c r="B40" s="370">
        <f t="shared" si="1"/>
        <v>26</v>
      </c>
      <c r="C40" s="45"/>
      <c r="D40" s="45" t="s">
        <v>3</v>
      </c>
      <c r="E40" s="53"/>
      <c r="F40" s="8"/>
      <c r="G40" s="96"/>
      <c r="H40" s="91"/>
      <c r="I40" s="92">
        <f t="shared" si="3"/>
        <v>0</v>
      </c>
      <c r="J40" s="97"/>
      <c r="K40" s="93">
        <f t="shared" si="2"/>
        <v>0</v>
      </c>
      <c r="M40" s="8"/>
      <c r="N40" s="8"/>
      <c r="O40" s="8"/>
      <c r="P40" s="6"/>
      <c r="S40"/>
      <c r="T40"/>
    </row>
    <row r="41" spans="2:20" ht="12" customHeight="1">
      <c r="B41" s="370">
        <f t="shared" si="1"/>
        <v>27</v>
      </c>
      <c r="C41" s="45"/>
      <c r="D41" s="45" t="s">
        <v>3</v>
      </c>
      <c r="E41" s="38" t="s">
        <v>33</v>
      </c>
      <c r="F41" s="235"/>
      <c r="G41" s="90">
        <v>1</v>
      </c>
      <c r="H41" s="91"/>
      <c r="I41" s="92">
        <f t="shared" si="3"/>
        <v>0</v>
      </c>
      <c r="J41" s="39">
        <v>10</v>
      </c>
      <c r="K41" s="93">
        <f t="shared" si="2"/>
        <v>10</v>
      </c>
      <c r="M41" s="8"/>
      <c r="N41" s="8"/>
      <c r="O41" s="8"/>
      <c r="P41" s="6"/>
      <c r="S41"/>
      <c r="T41"/>
    </row>
    <row r="42" spans="2:20" ht="12" customHeight="1">
      <c r="B42" s="370">
        <f t="shared" si="1"/>
        <v>28</v>
      </c>
      <c r="C42" s="45"/>
      <c r="D42" s="30" t="s">
        <v>3</v>
      </c>
      <c r="E42" s="53" t="s">
        <v>34</v>
      </c>
      <c r="F42" s="8"/>
      <c r="G42" s="97">
        <v>0.37</v>
      </c>
      <c r="H42" s="79"/>
      <c r="I42" s="92">
        <f t="shared" si="3"/>
        <v>0</v>
      </c>
      <c r="J42" s="97">
        <v>100</v>
      </c>
      <c r="K42" s="93">
        <f t="shared" si="2"/>
        <v>37</v>
      </c>
      <c r="M42" s="8"/>
      <c r="N42" s="8"/>
      <c r="O42" s="8"/>
      <c r="P42" s="6"/>
      <c r="S42"/>
      <c r="T42"/>
    </row>
    <row r="43" spans="2:20" ht="12" customHeight="1">
      <c r="B43" s="367">
        <f t="shared" si="1"/>
        <v>29</v>
      </c>
      <c r="C43" s="28"/>
      <c r="D43" s="28"/>
      <c r="E43" s="98" t="s">
        <v>35</v>
      </c>
      <c r="F43" s="98"/>
      <c r="G43" s="477"/>
      <c r="H43" s="477"/>
      <c r="I43" s="99">
        <f>I34+I35+I40+I41+I42</f>
        <v>0</v>
      </c>
      <c r="J43" s="478"/>
      <c r="K43" s="100">
        <f>SUM(K34:K42)</f>
        <v>1389</v>
      </c>
      <c r="M43" s="8"/>
      <c r="N43" s="8"/>
      <c r="O43" s="8"/>
      <c r="P43" s="6"/>
      <c r="S43"/>
      <c r="T43"/>
    </row>
    <row r="44" spans="2:20" ht="18" customHeight="1">
      <c r="B44" s="370">
        <f t="shared" si="1"/>
        <v>30</v>
      </c>
      <c r="C44" s="101" t="s">
        <v>36</v>
      </c>
      <c r="D44" s="101"/>
      <c r="E44" s="26"/>
      <c r="F44" s="72"/>
      <c r="G44" s="72"/>
      <c r="H44" s="102"/>
      <c r="I44" s="479"/>
      <c r="J44" s="479"/>
      <c r="K44" s="480"/>
      <c r="L44" s="6"/>
      <c r="M44" s="763">
        <f>K45+K46+K47+K48+K49+K50+K51</f>
        <v>1790</v>
      </c>
      <c r="N44" s="663"/>
      <c r="O44" s="666">
        <f>M44/$I$10</f>
        <v>1790</v>
      </c>
      <c r="P44" s="6"/>
      <c r="S44"/>
      <c r="T44"/>
    </row>
    <row r="45" spans="2:16" ht="12" customHeight="1">
      <c r="B45" s="370">
        <f t="shared" si="1"/>
        <v>31</v>
      </c>
      <c r="C45" s="45"/>
      <c r="D45" s="45" t="s">
        <v>3</v>
      </c>
      <c r="E45" s="5" t="s">
        <v>190</v>
      </c>
      <c r="G45" s="103"/>
      <c r="H45" s="104"/>
      <c r="I45" s="481"/>
      <c r="J45" s="481"/>
      <c r="K45" s="81">
        <v>700</v>
      </c>
      <c r="L45" s="6"/>
      <c r="M45" s="8"/>
      <c r="N45" s="8"/>
      <c r="O45" s="8"/>
      <c r="P45" s="6"/>
    </row>
    <row r="46" spans="2:16" ht="12" customHeight="1">
      <c r="B46" s="370">
        <f t="shared" si="1"/>
        <v>32</v>
      </c>
      <c r="C46" s="45"/>
      <c r="D46" s="45" t="s">
        <v>3</v>
      </c>
      <c r="E46" s="32" t="s">
        <v>37</v>
      </c>
      <c r="F46" s="32"/>
      <c r="G46" s="105"/>
      <c r="H46" s="106"/>
      <c r="I46" s="481"/>
      <c r="J46" s="481"/>
      <c r="K46" s="107">
        <v>200</v>
      </c>
      <c r="L46" s="6"/>
      <c r="M46" s="8"/>
      <c r="N46" s="8"/>
      <c r="O46" s="8"/>
      <c r="P46" s="6"/>
    </row>
    <row r="47" spans="2:16" ht="12" customHeight="1">
      <c r="B47" s="370">
        <f t="shared" si="1"/>
        <v>33</v>
      </c>
      <c r="C47" s="45"/>
      <c r="D47" s="45" t="s">
        <v>3</v>
      </c>
      <c r="E47" s="5" t="s">
        <v>237</v>
      </c>
      <c r="G47" s="103"/>
      <c r="H47" s="104"/>
      <c r="I47" s="481"/>
      <c r="J47" s="481"/>
      <c r="K47" s="81">
        <v>100</v>
      </c>
      <c r="L47" s="6"/>
      <c r="M47" s="8"/>
      <c r="N47" s="8"/>
      <c r="O47" s="8"/>
      <c r="P47" s="6"/>
    </row>
    <row r="48" spans="2:16" ht="12" customHeight="1">
      <c r="B48" s="370">
        <f t="shared" si="1"/>
        <v>34</v>
      </c>
      <c r="C48" s="45"/>
      <c r="D48" s="45" t="s">
        <v>3</v>
      </c>
      <c r="E48" s="32" t="s">
        <v>38</v>
      </c>
      <c r="F48" s="32"/>
      <c r="G48" s="105"/>
      <c r="H48" s="106"/>
      <c r="I48" s="481"/>
      <c r="J48" s="481"/>
      <c r="K48" s="107">
        <v>150</v>
      </c>
      <c r="L48" s="6"/>
      <c r="M48" s="8"/>
      <c r="N48" s="8"/>
      <c r="O48" s="8"/>
      <c r="P48" s="6"/>
    </row>
    <row r="49" spans="2:16" ht="12" customHeight="1">
      <c r="B49" s="370">
        <f t="shared" si="1"/>
        <v>35</v>
      </c>
      <c r="C49" s="45"/>
      <c r="D49" s="45" t="s">
        <v>3</v>
      </c>
      <c r="E49" s="5" t="s">
        <v>191</v>
      </c>
      <c r="G49" s="103"/>
      <c r="H49" s="104"/>
      <c r="I49" s="481"/>
      <c r="J49" s="481"/>
      <c r="K49" s="81">
        <v>50</v>
      </c>
      <c r="L49" s="6"/>
      <c r="M49" s="8"/>
      <c r="N49" s="8"/>
      <c r="O49" s="8"/>
      <c r="P49" s="6"/>
    </row>
    <row r="50" spans="2:16" ht="12" customHeight="1">
      <c r="B50" s="370">
        <f t="shared" si="1"/>
        <v>36</v>
      </c>
      <c r="C50" s="45"/>
      <c r="D50" s="45" t="s">
        <v>3</v>
      </c>
      <c r="E50" s="32" t="s">
        <v>180</v>
      </c>
      <c r="F50" s="32"/>
      <c r="G50" s="105"/>
      <c r="H50" s="106"/>
      <c r="I50" s="481"/>
      <c r="J50" s="481"/>
      <c r="K50" s="107">
        <v>350</v>
      </c>
      <c r="L50" s="6"/>
      <c r="M50" s="8"/>
      <c r="N50" s="8"/>
      <c r="O50" s="8"/>
      <c r="P50" s="6"/>
    </row>
    <row r="51" spans="2:16" ht="12" customHeight="1">
      <c r="B51" s="370">
        <f t="shared" si="1"/>
        <v>37</v>
      </c>
      <c r="C51" s="30"/>
      <c r="D51" s="30" t="s">
        <v>3</v>
      </c>
      <c r="E51" s="61" t="s">
        <v>236</v>
      </c>
      <c r="F51" s="338"/>
      <c r="G51" s="338"/>
      <c r="H51" s="377"/>
      <c r="I51" s="482"/>
      <c r="J51" s="482"/>
      <c r="K51" s="63">
        <v>240</v>
      </c>
      <c r="L51" s="6"/>
      <c r="M51" s="8"/>
      <c r="N51" s="8"/>
      <c r="O51" s="8"/>
      <c r="P51" s="6"/>
    </row>
    <row r="52" spans="2:16" ht="18" customHeight="1">
      <c r="B52" s="367">
        <f t="shared" si="1"/>
        <v>38</v>
      </c>
      <c r="C52" s="54" t="s">
        <v>39</v>
      </c>
      <c r="D52" s="54"/>
      <c r="E52" s="55"/>
      <c r="F52" s="21"/>
      <c r="G52" s="21"/>
      <c r="H52" s="431" t="s">
        <v>40</v>
      </c>
      <c r="I52" s="108"/>
      <c r="J52" s="431" t="s">
        <v>172</v>
      </c>
      <c r="K52" s="732"/>
      <c r="M52" s="764">
        <f>I52*K52</f>
        <v>0</v>
      </c>
      <c r="N52" s="664"/>
      <c r="O52" s="666">
        <f>M52/$I$10</f>
        <v>0</v>
      </c>
      <c r="P52" s="6"/>
    </row>
    <row r="53" spans="2:16" ht="18" customHeight="1">
      <c r="B53" s="370">
        <f t="shared" si="1"/>
        <v>39</v>
      </c>
      <c r="C53" s="109" t="s">
        <v>41</v>
      </c>
      <c r="D53" s="110"/>
      <c r="E53" s="110"/>
      <c r="F53" s="623" t="s">
        <v>42</v>
      </c>
      <c r="G53" s="111">
        <v>6</v>
      </c>
      <c r="H53" s="112"/>
      <c r="I53" s="113" t="s">
        <v>43</v>
      </c>
      <c r="J53" s="114">
        <f>K5</f>
        <v>30</v>
      </c>
      <c r="K53" s="115" t="s">
        <v>44</v>
      </c>
      <c r="M53" s="765">
        <f>J54*J53/12*G53/100</f>
        <v>736.11</v>
      </c>
      <c r="N53" s="665"/>
      <c r="O53" s="666">
        <f>J54*G53*J53/12/100</f>
        <v>736.1099999999999</v>
      </c>
      <c r="P53" s="6"/>
    </row>
    <row r="54" spans="2:16" ht="12" customHeight="1">
      <c r="B54" s="371">
        <f t="shared" si="1"/>
        <v>40</v>
      </c>
      <c r="C54" s="60"/>
      <c r="D54" s="116" t="s">
        <v>220</v>
      </c>
      <c r="E54" s="116"/>
      <c r="F54" s="161"/>
      <c r="G54" s="161"/>
      <c r="H54" s="116"/>
      <c r="I54" s="117"/>
      <c r="J54" s="738">
        <f>J29+M30+(O32+O44)*0.6</f>
        <v>4907.4</v>
      </c>
      <c r="K54" s="118" t="s">
        <v>173</v>
      </c>
      <c r="M54" s="8"/>
      <c r="N54" s="8"/>
      <c r="O54" s="8"/>
      <c r="P54" s="6"/>
    </row>
    <row r="55" spans="10:15" ht="9" customHeight="1" thickBot="1">
      <c r="J55" s="8"/>
      <c r="K55" s="9"/>
      <c r="M55" s="8"/>
      <c r="N55" s="8"/>
      <c r="O55" s="10"/>
    </row>
    <row r="56" spans="2:16" ht="19.5" customHeight="1" thickBot="1">
      <c r="B56" s="367">
        <f>B54+1</f>
        <v>41</v>
      </c>
      <c r="C56" s="66" t="s">
        <v>45</v>
      </c>
      <c r="D56" s="66"/>
      <c r="E56" s="66"/>
      <c r="F56" s="21"/>
      <c r="G56" s="119"/>
      <c r="H56" s="119"/>
      <c r="I56" s="120"/>
      <c r="J56" s="331"/>
      <c r="K56" s="23"/>
      <c r="L56" s="24"/>
      <c r="M56" s="766">
        <f>M28+M30+M32+M44+M52+M53</f>
        <v>6915.11</v>
      </c>
      <c r="N56" s="770">
        <f>SUM(N28:N52)</f>
        <v>0</v>
      </c>
      <c r="O56" s="121">
        <f>O28+O30+O32+O44+O52+O53</f>
        <v>6915.11</v>
      </c>
      <c r="P56" s="6"/>
    </row>
    <row r="57" spans="10:15" ht="9" customHeight="1" thickBot="1">
      <c r="J57" s="8"/>
      <c r="K57" s="9"/>
      <c r="M57" s="8"/>
      <c r="N57" s="8"/>
      <c r="O57" s="10"/>
    </row>
    <row r="58" spans="2:16" ht="19.5" customHeight="1" thickBot="1" thickTop="1">
      <c r="B58" s="373">
        <f>B56+1</f>
        <v>42</v>
      </c>
      <c r="C58" s="122" t="s">
        <v>46</v>
      </c>
      <c r="D58" s="122"/>
      <c r="E58" s="258"/>
      <c r="F58" s="123"/>
      <c r="G58" s="124"/>
      <c r="H58" s="125"/>
      <c r="I58" s="126"/>
      <c r="J58" s="127"/>
      <c r="K58" s="128"/>
      <c r="L58" s="24"/>
      <c r="M58" s="767">
        <f>M26-M56</f>
        <v>1328.4900000000007</v>
      </c>
      <c r="O58" s="641">
        <f>O26-O56</f>
        <v>1328.4900000000007</v>
      </c>
      <c r="P58" s="6"/>
    </row>
    <row r="59" spans="2:16" ht="10.5" customHeight="1" thickTop="1">
      <c r="B59" s="129"/>
      <c r="C59" s="6"/>
      <c r="D59" s="6"/>
      <c r="E59" s="6"/>
      <c r="F59" s="130"/>
      <c r="G59" s="130"/>
      <c r="H59" s="130"/>
      <c r="I59" s="130"/>
      <c r="J59" s="130"/>
      <c r="K59" s="130"/>
      <c r="L59" s="130"/>
      <c r="M59" s="130"/>
      <c r="P59" s="30"/>
    </row>
    <row r="60" spans="2:16" ht="17.25" customHeight="1">
      <c r="B60" s="374">
        <f>B58+1</f>
        <v>43</v>
      </c>
      <c r="C60" s="131" t="s">
        <v>47</v>
      </c>
      <c r="D60" s="131"/>
      <c r="E60" s="132"/>
      <c r="F60" s="133"/>
      <c r="G60" s="134"/>
      <c r="H60" s="135"/>
      <c r="I60" s="348"/>
      <c r="J60" s="133"/>
      <c r="K60" s="23" t="s">
        <v>48</v>
      </c>
      <c r="L60" s="136"/>
      <c r="M60" s="137">
        <f>IF('Seite 2'!G21&gt;0,'Seite 2'!G21,'Seite 1 '!I60)</f>
        <v>121.5</v>
      </c>
      <c r="O60" s="771">
        <f>IF(I60=0,'Seite 2'!G21,I60)</f>
        <v>121.5</v>
      </c>
      <c r="P60" s="30"/>
    </row>
    <row r="61" spans="2:16" ht="9" customHeight="1">
      <c r="B61" s="483"/>
      <c r="C61" s="484"/>
      <c r="D61" s="484"/>
      <c r="E61" s="485"/>
      <c r="F61" s="486"/>
      <c r="G61" s="487"/>
      <c r="H61" s="488"/>
      <c r="I61" s="518"/>
      <c r="J61" s="486"/>
      <c r="K61" s="489"/>
      <c r="L61" s="136"/>
      <c r="M61" s="490"/>
      <c r="O61" s="491"/>
      <c r="P61" s="30"/>
    </row>
    <row r="62" spans="2:16" ht="10.5" customHeight="1">
      <c r="B62" s="483"/>
      <c r="C62" s="484"/>
      <c r="D62" s="484"/>
      <c r="E62" s="485"/>
      <c r="F62" s="486"/>
      <c r="G62" s="487"/>
      <c r="H62" s="488"/>
      <c r="I62" s="518"/>
      <c r="J62" s="486"/>
      <c r="K62" s="489"/>
      <c r="L62" s="136"/>
      <c r="M62" s="779"/>
      <c r="N62" s="779"/>
      <c r="O62" s="779"/>
      <c r="P62" s="30"/>
    </row>
    <row r="63" spans="14:15" s="1" customFormat="1" ht="6.75" customHeight="1">
      <c r="N63" s="319"/>
      <c r="O63" s="254"/>
    </row>
    <row r="64" s="1" customFormat="1" ht="15" customHeight="1">
      <c r="N64" s="319"/>
    </row>
    <row r="65" s="1" customFormat="1" ht="15" customHeight="1">
      <c r="N65" s="319"/>
    </row>
    <row r="66" s="1" customFormat="1" ht="15" customHeight="1">
      <c r="N66" s="319"/>
    </row>
    <row r="67" s="1" customFormat="1" ht="15" customHeight="1">
      <c r="N67" s="319"/>
    </row>
    <row r="68" s="1" customFormat="1" ht="15" customHeight="1">
      <c r="N68" s="319"/>
    </row>
    <row r="69" s="1" customFormat="1" ht="15" customHeight="1">
      <c r="N69" s="319"/>
    </row>
    <row r="70" s="1" customFormat="1" ht="15" customHeight="1">
      <c r="N70" s="319"/>
    </row>
    <row r="71" s="1" customFormat="1" ht="15" customHeight="1">
      <c r="N71" s="319"/>
    </row>
    <row r="72" s="1" customFormat="1" ht="15" customHeight="1">
      <c r="N72" s="319"/>
    </row>
    <row r="73" s="1" customFormat="1" ht="15" customHeight="1">
      <c r="N73" s="319"/>
    </row>
    <row r="74" s="1" customFormat="1" ht="15" customHeight="1">
      <c r="N74" s="319"/>
    </row>
    <row r="75" s="1" customFormat="1" ht="18.75" customHeight="1">
      <c r="N75" s="319"/>
    </row>
    <row r="76" s="1" customFormat="1" ht="15" customHeight="1">
      <c r="N76" s="319"/>
    </row>
  </sheetData>
  <sheetProtection sheet="1" objects="1" scenarios="1"/>
  <mergeCells count="3">
    <mergeCell ref="I2:O2"/>
    <mergeCell ref="M62:O62"/>
    <mergeCell ref="I5:J5"/>
  </mergeCells>
  <printOptions horizontalCentered="1"/>
  <pageMargins left="0.5905511811023623" right="0.3937007874015748" top="0.5905511811023623" bottom="0.5905511811023623" header="0.3937007874015748" footer="0.3937007874015748"/>
  <pageSetup blackAndWhite="1" fitToHeight="0" horizontalDpi="300" verticalDpi="300" orientation="portrait" paperSize="9" scale="91" r:id="rId3"/>
  <headerFooter alignWithMargins="0">
    <oddFooter>&amp;LLEL Schwäbisch Gmünd 
&amp;D&amp;C&amp;F&amp;R&amp;A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showZeros="0" workbookViewId="0" topLeftCell="A1">
      <selection activeCell="F63" sqref="F63"/>
    </sheetView>
  </sheetViews>
  <sheetFormatPr defaultColWidth="11.421875" defaultRowHeight="12.75"/>
  <cols>
    <col min="1" max="1" width="1.7109375" style="5" customWidth="1"/>
    <col min="2" max="2" width="3.28125" style="13" customWidth="1"/>
    <col min="3" max="3" width="2.8515625" style="5" customWidth="1"/>
    <col min="4" max="4" width="4.7109375" style="5" customWidth="1"/>
    <col min="5" max="5" width="12.00390625" style="5" customWidth="1"/>
    <col min="6" max="6" width="11.7109375" style="5" customWidth="1"/>
    <col min="7" max="7" width="9.57421875" style="5" customWidth="1"/>
    <col min="8" max="8" width="11.00390625" style="5" customWidth="1"/>
    <col min="9" max="9" width="11.28125" style="5" customWidth="1"/>
    <col min="10" max="10" width="12.140625" style="5" customWidth="1"/>
    <col min="11" max="11" width="11.140625" style="5" customWidth="1"/>
    <col min="12" max="12" width="2.7109375" style="5" customWidth="1"/>
    <col min="13" max="13" width="9.140625" style="5" hidden="1" customWidth="1"/>
    <col min="14" max="14" width="2.7109375" style="5" customWidth="1"/>
    <col min="15" max="15" width="15.7109375" style="5" customWidth="1"/>
    <col min="16" max="16" width="6.421875" style="5" hidden="1" customWidth="1"/>
    <col min="17" max="16384" width="11.421875" style="5" customWidth="1"/>
  </cols>
  <sheetData>
    <row r="1" spans="1:5" ht="9" customHeight="1">
      <c r="A1" s="3"/>
      <c r="B1" s="138"/>
      <c r="E1" s="139"/>
    </row>
    <row r="2" spans="2:16" ht="23.25">
      <c r="B2" s="405" t="s">
        <v>0</v>
      </c>
      <c r="C2" s="4"/>
      <c r="D2" s="4"/>
      <c r="H2"/>
      <c r="I2" s="782" t="str">
        <f>'Seite 1 '!I2</f>
        <v>Fohlenaufzucht 6 bis 36 Mon.</v>
      </c>
      <c r="J2" s="783"/>
      <c r="K2" s="783"/>
      <c r="L2" s="783"/>
      <c r="M2" s="783"/>
      <c r="N2" s="783"/>
      <c r="O2" s="784"/>
      <c r="P2" s="6"/>
    </row>
    <row r="3" spans="2:15" ht="15">
      <c r="B3" s="409" t="str">
        <f>'Seite 1 '!B3</f>
        <v> - Produktionsverfahren Fohlenaufzucht -</v>
      </c>
      <c r="H3" s="6"/>
      <c r="I3"/>
      <c r="J3"/>
      <c r="K3" s="7"/>
      <c r="L3" s="6"/>
      <c r="M3" s="12"/>
      <c r="N3" s="6"/>
      <c r="O3" s="6"/>
    </row>
    <row r="4" spans="9:15" ht="25.5" customHeight="1">
      <c r="I4"/>
      <c r="J4" s="8"/>
      <c r="K4" s="9"/>
      <c r="M4" s="8"/>
      <c r="N4" s="8"/>
      <c r="O4" s="10"/>
    </row>
    <row r="5" spans="2:15" ht="25.5" customHeight="1">
      <c r="B5" s="730" t="s">
        <v>1</v>
      </c>
      <c r="C5" s="406"/>
      <c r="D5" s="406"/>
      <c r="E5" s="407"/>
      <c r="F5" s="140">
        <f>'Seite 1 '!G5</f>
        <v>5</v>
      </c>
      <c r="G5" s="785" t="s">
        <v>238</v>
      </c>
      <c r="H5" s="786"/>
      <c r="I5" s="141">
        <f>'Seite 1 '!K5</f>
        <v>30</v>
      </c>
      <c r="J5" s="731"/>
      <c r="K5" s="731"/>
      <c r="L5" s="731"/>
      <c r="M5" s="624"/>
      <c r="N5" s="8"/>
      <c r="O5" s="624"/>
    </row>
    <row r="6" spans="2:5" ht="12.75" customHeight="1">
      <c r="B6" s="138"/>
      <c r="E6" s="139"/>
    </row>
    <row r="7" spans="2:15" ht="21" customHeight="1" hidden="1">
      <c r="B7" s="367">
        <f>'Seite 1 '!B60+1</f>
        <v>44</v>
      </c>
      <c r="C7" s="142" t="s">
        <v>49</v>
      </c>
      <c r="D7" s="21"/>
      <c r="E7" s="143"/>
      <c r="F7" s="21"/>
      <c r="G7" s="21"/>
      <c r="H7" s="144"/>
      <c r="I7" s="144"/>
      <c r="J7" s="144"/>
      <c r="K7" s="145"/>
      <c r="L7" s="146"/>
      <c r="M7" s="147" t="str">
        <f>'Seite 1 '!I32</f>
        <v>10 MJ DE</v>
      </c>
      <c r="N7" s="148"/>
      <c r="O7" s="149"/>
    </row>
    <row r="8" spans="2:15" ht="18" customHeight="1" hidden="1">
      <c r="B8" s="370">
        <f>B7+1</f>
        <v>45</v>
      </c>
      <c r="C8" s="150" t="s">
        <v>50</v>
      </c>
      <c r="D8" s="45"/>
      <c r="E8" s="151"/>
      <c r="F8" s="45"/>
      <c r="G8" s="45"/>
      <c r="H8" s="152"/>
      <c r="I8" s="152"/>
      <c r="J8" s="152"/>
      <c r="K8" s="153"/>
      <c r="L8" s="6"/>
      <c r="M8" s="399">
        <v>22370</v>
      </c>
      <c r="N8" s="157"/>
      <c r="O8" s="158"/>
    </row>
    <row r="9" spans="2:15" ht="18" customHeight="1" hidden="1">
      <c r="B9" s="370">
        <f>B8+1</f>
        <v>46</v>
      </c>
      <c r="C9" s="150"/>
      <c r="D9" s="45" t="s">
        <v>51</v>
      </c>
      <c r="E9" s="151"/>
      <c r="F9" s="45"/>
      <c r="G9" s="45"/>
      <c r="H9" s="152"/>
      <c r="I9" s="152"/>
      <c r="J9" s="152"/>
      <c r="K9" s="153">
        <f>K8</f>
        <v>0</v>
      </c>
      <c r="L9" s="6"/>
      <c r="M9" s="400">
        <f>'Seite 1 '!I43</f>
        <v>0</v>
      </c>
      <c r="N9" s="154"/>
      <c r="O9" s="155"/>
    </row>
    <row r="10" spans="2:16" ht="18" customHeight="1" hidden="1">
      <c r="B10" s="370">
        <f>B9+1</f>
        <v>47</v>
      </c>
      <c r="C10" s="150"/>
      <c r="D10" s="45" t="s">
        <v>52</v>
      </c>
      <c r="E10" s="151"/>
      <c r="F10" s="45"/>
      <c r="G10" s="152"/>
      <c r="H10" s="341" t="str">
        <f>IF(M8&gt;0,"(="&amp;" "&amp;ROUND(P10,0)&amp;" "&amp;M7&amp;" +","")</f>
        <v>(= 22370 10 MJ DE +</v>
      </c>
      <c r="I10" s="349">
        <v>13</v>
      </c>
      <c r="J10" s="156" t="s">
        <v>53</v>
      </c>
      <c r="K10" s="153"/>
      <c r="L10" s="6"/>
      <c r="M10" s="400">
        <f>P10/(100-I10)*100</f>
        <v>25712.64367816092</v>
      </c>
      <c r="N10" s="157"/>
      <c r="O10" s="158"/>
      <c r="P10" s="325">
        <f>M8-M9</f>
        <v>22370</v>
      </c>
    </row>
    <row r="11" spans="2:15" ht="18" customHeight="1" hidden="1">
      <c r="B11" s="371">
        <f>B10+1</f>
        <v>48</v>
      </c>
      <c r="C11" s="159"/>
      <c r="D11" s="160"/>
      <c r="E11" s="160" t="s">
        <v>54</v>
      </c>
      <c r="F11" s="60"/>
      <c r="G11" s="161"/>
      <c r="H11" s="162"/>
      <c r="I11" s="163"/>
      <c r="J11" s="164" t="s">
        <v>55</v>
      </c>
      <c r="K11" s="350">
        <v>0</v>
      </c>
      <c r="L11" s="6"/>
      <c r="M11" s="401">
        <f>M10*K11/365</f>
        <v>0</v>
      </c>
      <c r="N11" s="165"/>
      <c r="O11" s="166"/>
    </row>
    <row r="12" spans="2:15" ht="15.75" customHeight="1">
      <c r="B12" s="138"/>
      <c r="C12" s="167"/>
      <c r="D12" s="167"/>
      <c r="E12" s="167"/>
      <c r="O12" s="9"/>
    </row>
    <row r="13" spans="2:15" ht="21" customHeight="1">
      <c r="B13" s="372">
        <f>'Seite 1 '!B60+1</f>
        <v>44</v>
      </c>
      <c r="C13" s="498" t="s">
        <v>56</v>
      </c>
      <c r="D13" s="72"/>
      <c r="E13" s="499"/>
      <c r="F13" s="72"/>
      <c r="G13" s="72"/>
      <c r="H13" s="500" t="s">
        <v>57</v>
      </c>
      <c r="I13" s="501"/>
      <c r="J13" s="501"/>
      <c r="K13" s="501"/>
      <c r="L13" s="501"/>
      <c r="M13" s="502"/>
      <c r="N13" s="503"/>
      <c r="O13" s="504"/>
    </row>
    <row r="14" spans="2:15" ht="22.5" customHeight="1">
      <c r="B14" s="371">
        <f aca="true" t="shared" si="0" ref="B14:B21">B13+1</f>
        <v>45</v>
      </c>
      <c r="C14" s="505"/>
      <c r="D14" s="506"/>
      <c r="E14" s="506"/>
      <c r="F14" s="482"/>
      <c r="G14" s="507" t="s">
        <v>58</v>
      </c>
      <c r="H14" s="508" t="s">
        <v>188</v>
      </c>
      <c r="I14" s="508" t="s">
        <v>192</v>
      </c>
      <c r="J14" s="508">
        <v>0</v>
      </c>
      <c r="K14" s="508">
        <v>0</v>
      </c>
      <c r="L14" s="509"/>
      <c r="M14" s="510"/>
      <c r="N14" s="511" t="s">
        <v>59</v>
      </c>
      <c r="O14" s="512"/>
    </row>
    <row r="15" spans="2:15" ht="18" customHeight="1">
      <c r="B15" s="370">
        <f t="shared" si="0"/>
        <v>46</v>
      </c>
      <c r="C15" s="790" t="s">
        <v>228</v>
      </c>
      <c r="D15" s="791"/>
      <c r="E15" s="791"/>
      <c r="F15" s="792"/>
      <c r="G15" s="755">
        <v>365</v>
      </c>
      <c r="H15" s="171">
        <v>180</v>
      </c>
      <c r="I15" s="171">
        <v>185</v>
      </c>
      <c r="J15" s="171">
        <v>0</v>
      </c>
      <c r="K15" s="171">
        <v>0</v>
      </c>
      <c r="L15" s="383"/>
      <c r="M15" s="172"/>
      <c r="N15" s="173"/>
      <c r="O15" s="174">
        <f>G15-H15-I15-J15-K15-M15</f>
        <v>0</v>
      </c>
    </row>
    <row r="16" spans="2:15" ht="18" customHeight="1">
      <c r="B16" s="370">
        <f t="shared" si="0"/>
        <v>47</v>
      </c>
      <c r="C16" s="168" t="s">
        <v>200</v>
      </c>
      <c r="D16" s="156"/>
      <c r="E16" s="169"/>
      <c r="F16" s="170"/>
      <c r="G16" s="175">
        <f>IF(G15=0,0,(H15*H16+I15*I16+J15*J16+K15*K16+M15*M16+O15*O16)/G15)</f>
        <v>15.04109589041096</v>
      </c>
      <c r="H16" s="176">
        <v>12</v>
      </c>
      <c r="I16" s="176">
        <v>18</v>
      </c>
      <c r="J16" s="176">
        <v>0</v>
      </c>
      <c r="K16" s="176">
        <v>0</v>
      </c>
      <c r="L16" s="384"/>
      <c r="M16" s="177"/>
      <c r="N16" s="384"/>
      <c r="O16" s="178"/>
    </row>
    <row r="17" spans="2:16" ht="18" customHeight="1">
      <c r="B17" s="370">
        <f t="shared" si="0"/>
        <v>48</v>
      </c>
      <c r="C17" s="156" t="s">
        <v>60</v>
      </c>
      <c r="D17" s="156"/>
      <c r="E17" s="156"/>
      <c r="F17" s="179"/>
      <c r="G17" s="50">
        <v>30</v>
      </c>
      <c r="H17" s="704">
        <v>0</v>
      </c>
      <c r="I17" s="704"/>
      <c r="J17" s="704"/>
      <c r="K17" s="704"/>
      <c r="L17" s="701"/>
      <c r="M17" s="704"/>
      <c r="N17" s="180"/>
      <c r="O17" s="181">
        <f>G17</f>
        <v>30</v>
      </c>
      <c r="P17" s="324">
        <f>G17*60/365</f>
        <v>4.931506849315069</v>
      </c>
    </row>
    <row r="18" spans="2:15" ht="18" customHeight="1">
      <c r="B18" s="371">
        <f t="shared" si="0"/>
        <v>49</v>
      </c>
      <c r="C18" s="160" t="s">
        <v>61</v>
      </c>
      <c r="D18" s="160"/>
      <c r="E18" s="160"/>
      <c r="F18" s="182"/>
      <c r="G18" s="183">
        <f>G16+P17</f>
        <v>19.972602739726028</v>
      </c>
      <c r="H18" s="702">
        <f>ROUND(IF(H15=0,0,H16+(H17*60/H15)),2)</f>
        <v>12</v>
      </c>
      <c r="I18" s="702">
        <f>ROUND(IF(I15=0,0,I16+(I17*60/I15)),2)</f>
        <v>18</v>
      </c>
      <c r="J18" s="702">
        <f>ROUND(IF(J15=0,0,J16+(J17*60/J15)),2)</f>
        <v>0</v>
      </c>
      <c r="K18" s="702">
        <f>ROUND(IF(K15=0,0,K16+(K17*60/K15)),2)</f>
        <v>0</v>
      </c>
      <c r="L18" s="702"/>
      <c r="M18" s="703">
        <f>ROUND(IF(M15=0,0,M16+(M17*60/M15)),2)</f>
        <v>0</v>
      </c>
      <c r="N18" s="184"/>
      <c r="O18" s="185">
        <f>IF(O15=0,0,O16+(O17*60/O15))</f>
        <v>0</v>
      </c>
    </row>
    <row r="19" spans="2:17" ht="18" customHeight="1">
      <c r="B19" s="367">
        <f t="shared" si="0"/>
        <v>50</v>
      </c>
      <c r="C19" s="186" t="s">
        <v>62</v>
      </c>
      <c r="D19" s="186"/>
      <c r="E19" s="186"/>
      <c r="F19" s="187"/>
      <c r="G19" s="721">
        <f>(G15*G16)/60+G17</f>
        <v>121.5</v>
      </c>
      <c r="H19" s="188">
        <f aca="true" t="shared" si="1" ref="H19:M19">H18/60*H15*$I$5/12</f>
        <v>90</v>
      </c>
      <c r="I19" s="188">
        <f t="shared" si="1"/>
        <v>138.75</v>
      </c>
      <c r="J19" s="188">
        <f t="shared" si="1"/>
        <v>0</v>
      </c>
      <c r="K19" s="188">
        <f t="shared" si="1"/>
        <v>0</v>
      </c>
      <c r="L19" s="188">
        <f t="shared" si="1"/>
        <v>0</v>
      </c>
      <c r="M19" s="188">
        <f t="shared" si="1"/>
        <v>0</v>
      </c>
      <c r="N19" s="189"/>
      <c r="O19" s="190">
        <f>SUM(O15:O18)</f>
        <v>30</v>
      </c>
      <c r="P19" s="195"/>
      <c r="Q19"/>
    </row>
    <row r="20" spans="2:16" ht="18" customHeight="1">
      <c r="B20" s="372">
        <f t="shared" si="0"/>
        <v>51</v>
      </c>
      <c r="C20" s="192" t="s">
        <v>63</v>
      </c>
      <c r="D20" s="192"/>
      <c r="E20" s="192"/>
      <c r="F20" s="193"/>
      <c r="G20" s="194">
        <f>'Seite 1 '!I52</f>
        <v>0</v>
      </c>
      <c r="H20" s="704">
        <v>0</v>
      </c>
      <c r="I20" s="704"/>
      <c r="J20" s="704"/>
      <c r="K20" s="704"/>
      <c r="L20" s="701"/>
      <c r="M20" s="704"/>
      <c r="N20" s="180"/>
      <c r="O20" s="181">
        <f>G20</f>
        <v>0</v>
      </c>
      <c r="P20" s="195"/>
    </row>
    <row r="21" spans="2:17" ht="18" customHeight="1">
      <c r="B21" s="668">
        <f t="shared" si="0"/>
        <v>52</v>
      </c>
      <c r="C21" s="713" t="s">
        <v>64</v>
      </c>
      <c r="D21" s="714"/>
      <c r="E21" s="714"/>
      <c r="F21" s="715"/>
      <c r="G21" s="716">
        <f>G19-G20</f>
        <v>121.5</v>
      </c>
      <c r="H21" s="716">
        <f>H19-H20</f>
        <v>90</v>
      </c>
      <c r="I21" s="716">
        <f>I19-I20</f>
        <v>138.75</v>
      </c>
      <c r="J21" s="716">
        <f>J19-J20</f>
        <v>0</v>
      </c>
      <c r="K21" s="716">
        <f>K19-K20</f>
        <v>0</v>
      </c>
      <c r="L21" s="716"/>
      <c r="M21" s="717">
        <f>M19-M20</f>
        <v>0</v>
      </c>
      <c r="N21" s="716"/>
      <c r="O21" s="718">
        <f>O19-O20</f>
        <v>30</v>
      </c>
      <c r="P21" s="195"/>
      <c r="Q21" s="191"/>
    </row>
    <row r="22" spans="2:15" ht="12.75" customHeight="1">
      <c r="B22" s="138"/>
      <c r="C22" s="196"/>
      <c r="D22" s="167"/>
      <c r="E22" s="167"/>
      <c r="O22" s="9"/>
    </row>
    <row r="23" spans="2:15" ht="21" customHeight="1">
      <c r="B23" s="367">
        <f>B21+1</f>
        <v>53</v>
      </c>
      <c r="C23" s="197" t="s">
        <v>65</v>
      </c>
      <c r="D23" s="54"/>
      <c r="E23" s="21"/>
      <c r="F23" s="21"/>
      <c r="G23" s="21"/>
      <c r="H23" s="198" t="s">
        <v>66</v>
      </c>
      <c r="I23" s="198" t="s">
        <v>67</v>
      </c>
      <c r="J23" s="21" t="s">
        <v>68</v>
      </c>
      <c r="K23" s="21"/>
      <c r="L23" s="21"/>
      <c r="M23" s="21"/>
      <c r="N23" s="21"/>
      <c r="O23" s="199"/>
    </row>
    <row r="24" spans="2:15" ht="18" customHeight="1">
      <c r="B24" s="370">
        <f>B23+1</f>
        <v>54</v>
      </c>
      <c r="C24" s="150" t="s">
        <v>214</v>
      </c>
      <c r="D24" s="45"/>
      <c r="E24" s="45"/>
      <c r="F24" s="45"/>
      <c r="G24" s="45"/>
      <c r="H24" s="200" t="s">
        <v>215</v>
      </c>
      <c r="I24" s="200">
        <v>25</v>
      </c>
      <c r="J24" s="52"/>
      <c r="K24" s="46"/>
      <c r="L24" s="46"/>
      <c r="M24" s="46"/>
      <c r="N24" s="46"/>
      <c r="O24" s="385"/>
    </row>
    <row r="25" spans="2:15" ht="18" customHeight="1">
      <c r="B25" s="370">
        <f aca="true" t="shared" si="2" ref="B25:B31">B24+1</f>
        <v>55</v>
      </c>
      <c r="C25" s="150" t="s">
        <v>216</v>
      </c>
      <c r="D25" s="45"/>
      <c r="E25" s="45"/>
      <c r="F25" s="45"/>
      <c r="G25" s="45"/>
      <c r="H25" s="200" t="s">
        <v>69</v>
      </c>
      <c r="I25" s="309">
        <v>10</v>
      </c>
      <c r="J25" s="52">
        <v>0</v>
      </c>
      <c r="K25" s="46"/>
      <c r="L25" s="46"/>
      <c r="M25" s="46"/>
      <c r="N25" s="46"/>
      <c r="O25" s="385"/>
    </row>
    <row r="26" spans="2:15" ht="18" customHeight="1">
      <c r="B26" s="370">
        <f t="shared" si="2"/>
        <v>56</v>
      </c>
      <c r="C26" s="150" t="s">
        <v>213</v>
      </c>
      <c r="D26" s="45"/>
      <c r="E26" s="45"/>
      <c r="F26" s="45" t="s">
        <v>70</v>
      </c>
      <c r="G26" s="45"/>
      <c r="H26" s="201" t="s">
        <v>69</v>
      </c>
      <c r="I26" s="309"/>
      <c r="J26" s="52"/>
      <c r="K26" s="46"/>
      <c r="L26" s="46"/>
      <c r="M26" s="46"/>
      <c r="N26" s="46"/>
      <c r="O26" s="385"/>
    </row>
    <row r="27" spans="2:15" ht="18" customHeight="1">
      <c r="B27" s="370">
        <f t="shared" si="2"/>
        <v>57</v>
      </c>
      <c r="C27" s="150"/>
      <c r="D27" s="45"/>
      <c r="E27" s="45"/>
      <c r="F27" s="45" t="s">
        <v>71</v>
      </c>
      <c r="G27" s="45"/>
      <c r="H27" s="201" t="s">
        <v>69</v>
      </c>
      <c r="I27" s="309">
        <v>120</v>
      </c>
      <c r="J27" s="52"/>
      <c r="K27" s="46"/>
      <c r="L27" s="46"/>
      <c r="M27" s="46"/>
      <c r="N27" s="46"/>
      <c r="O27" s="385"/>
    </row>
    <row r="28" spans="2:15" ht="18" customHeight="1">
      <c r="B28" s="370">
        <f t="shared" si="2"/>
        <v>58</v>
      </c>
      <c r="C28" s="150"/>
      <c r="D28" s="45"/>
      <c r="E28" s="45"/>
      <c r="F28" s="45" t="s">
        <v>51</v>
      </c>
      <c r="G28" s="45"/>
      <c r="H28" s="200" t="s">
        <v>69</v>
      </c>
      <c r="I28" s="309"/>
      <c r="J28" s="52"/>
      <c r="K28" s="46"/>
      <c r="L28" s="46"/>
      <c r="M28" s="46"/>
      <c r="N28" s="46"/>
      <c r="O28" s="385"/>
    </row>
    <row r="29" spans="2:15" ht="18" customHeight="1">
      <c r="B29" s="370">
        <f t="shared" si="2"/>
        <v>59</v>
      </c>
      <c r="C29" s="59"/>
      <c r="D29" s="46"/>
      <c r="E29" s="46"/>
      <c r="F29" s="52" t="s">
        <v>176</v>
      </c>
      <c r="G29" s="46"/>
      <c r="H29" s="200" t="s">
        <v>69</v>
      </c>
      <c r="I29" s="309">
        <v>1</v>
      </c>
      <c r="J29" s="52"/>
      <c r="K29" s="46"/>
      <c r="L29" s="46"/>
      <c r="M29" s="46"/>
      <c r="N29" s="46"/>
      <c r="O29" s="385"/>
    </row>
    <row r="30" spans="2:15" ht="18" customHeight="1">
      <c r="B30" s="370">
        <f t="shared" si="2"/>
        <v>60</v>
      </c>
      <c r="C30" s="59"/>
      <c r="D30" s="46"/>
      <c r="E30" s="46"/>
      <c r="F30" s="52"/>
      <c r="G30" s="46"/>
      <c r="H30" s="200"/>
      <c r="I30" s="309"/>
      <c r="J30" s="52"/>
      <c r="K30" s="46"/>
      <c r="L30" s="46"/>
      <c r="M30" s="46"/>
      <c r="N30" s="46"/>
      <c r="O30" s="385"/>
    </row>
    <row r="31" spans="2:15" ht="18" customHeight="1">
      <c r="B31" s="371">
        <f t="shared" si="2"/>
        <v>61</v>
      </c>
      <c r="C31" s="62"/>
      <c r="D31" s="338"/>
      <c r="E31" s="338"/>
      <c r="F31" s="61"/>
      <c r="G31" s="338"/>
      <c r="H31" s="202"/>
      <c r="I31" s="310"/>
      <c r="J31" s="61"/>
      <c r="K31" s="338"/>
      <c r="L31" s="338"/>
      <c r="M31" s="338"/>
      <c r="N31" s="338"/>
      <c r="O31" s="360"/>
    </row>
    <row r="32" spans="3:15" ht="15" customHeight="1">
      <c r="C32" s="203"/>
      <c r="D32" s="204"/>
      <c r="O32" s="3"/>
    </row>
    <row r="33" spans="3:15" ht="15.75" customHeight="1">
      <c r="C33" s="203"/>
      <c r="D33" s="204"/>
      <c r="O33" s="3"/>
    </row>
    <row r="34" spans="3:15" ht="22.5" customHeight="1">
      <c r="C34" s="203"/>
      <c r="D34" s="204"/>
      <c r="M34" s="696" t="str">
        <f>'Seite 1 '!M7</f>
        <v>€/ Stute</v>
      </c>
      <c r="O34" s="696" t="str">
        <f>'Seite 1 '!O7</f>
        <v>€ je Jungpferd</v>
      </c>
    </row>
    <row r="35" spans="3:15" ht="4.5" customHeight="1">
      <c r="C35" s="203"/>
      <c r="D35" s="204"/>
      <c r="M35" s="83"/>
      <c r="N35" s="30"/>
      <c r="O35" s="699"/>
    </row>
    <row r="36" spans="2:15" ht="4.5" customHeight="1">
      <c r="B36" s="673"/>
      <c r="C36" s="212"/>
      <c r="D36" s="212"/>
      <c r="E36" s="212"/>
      <c r="F36" s="212"/>
      <c r="G36" s="212"/>
      <c r="H36" s="212"/>
      <c r="I36" s="212"/>
      <c r="J36" s="30"/>
      <c r="K36" s="30"/>
      <c r="L36" s="30"/>
      <c r="M36" s="30"/>
      <c r="N36" s="30"/>
      <c r="O36" s="674"/>
    </row>
    <row r="37" spans="2:14" ht="2.25" customHeight="1">
      <c r="B37" s="231"/>
      <c r="C37" s="206"/>
      <c r="D37" s="206"/>
      <c r="E37" s="206"/>
      <c r="F37" s="206"/>
      <c r="G37" s="206"/>
      <c r="H37" s="206"/>
      <c r="I37" s="206"/>
      <c r="N37" s="30"/>
    </row>
    <row r="38" spans="2:15" ht="18" customHeight="1">
      <c r="B38" s="387">
        <f>B31+1</f>
        <v>62</v>
      </c>
      <c r="C38" s="243" t="s">
        <v>73</v>
      </c>
      <c r="D38" s="214"/>
      <c r="E38" s="214"/>
      <c r="F38" s="213"/>
      <c r="G38" s="213"/>
      <c r="H38" s="249"/>
      <c r="I38" s="694"/>
      <c r="J38" s="72"/>
      <c r="K38" s="695"/>
      <c r="L38" s="206"/>
      <c r="M38" s="237">
        <f>IF(F46=0,0,K45/F46)</f>
        <v>78.8</v>
      </c>
      <c r="N38" s="212"/>
      <c r="O38" s="237">
        <f>IF('Seite 1 '!I10=0,0,M38/'Seite 1 '!I10)</f>
        <v>78.8</v>
      </c>
    </row>
    <row r="39" spans="2:15" ht="18" customHeight="1">
      <c r="B39" s="434">
        <f>B38+1</f>
        <v>63</v>
      </c>
      <c r="C39" s="682" t="s">
        <v>217</v>
      </c>
      <c r="D39" s="681"/>
      <c r="E39" s="681"/>
      <c r="F39" s="733">
        <v>3</v>
      </c>
      <c r="G39" s="435" t="s">
        <v>74</v>
      </c>
      <c r="H39" s="435" t="s">
        <v>75</v>
      </c>
      <c r="I39" s="435" t="s">
        <v>76</v>
      </c>
      <c r="J39" s="435" t="s">
        <v>77</v>
      </c>
      <c r="K39" s="436" t="s">
        <v>78</v>
      </c>
      <c r="L39" s="206"/>
      <c r="M39" s="246"/>
      <c r="N39" s="245"/>
      <c r="O39" s="246"/>
    </row>
    <row r="40" spans="2:15" ht="18" customHeight="1">
      <c r="B40" s="390"/>
      <c r="C40" s="675"/>
      <c r="D40" s="676"/>
      <c r="E40" s="676"/>
      <c r="G40" s="437" t="s">
        <v>79</v>
      </c>
      <c r="H40" s="437" t="s">
        <v>171</v>
      </c>
      <c r="I40" s="438" t="s">
        <v>80</v>
      </c>
      <c r="J40" s="438" t="s">
        <v>81</v>
      </c>
      <c r="K40" s="439" t="s">
        <v>81</v>
      </c>
      <c r="L40" s="206"/>
      <c r="M40" s="246"/>
      <c r="N40" s="245"/>
      <c r="O40" s="246"/>
    </row>
    <row r="41" spans="2:15" ht="18" customHeight="1">
      <c r="B41" s="391">
        <f>B39+1</f>
        <v>64</v>
      </c>
      <c r="C41" s="215" t="s">
        <v>82</v>
      </c>
      <c r="D41" s="215"/>
      <c r="E41" s="32"/>
      <c r="F41" s="677"/>
      <c r="G41" s="216">
        <v>20</v>
      </c>
      <c r="H41" s="217">
        <v>5000</v>
      </c>
      <c r="I41" s="326">
        <f>IF(G41=0,0,100/G41+$F$39)</f>
        <v>8</v>
      </c>
      <c r="J41" s="513">
        <v>15</v>
      </c>
      <c r="K41" s="218">
        <f>H41*I41/100*J41/100</f>
        <v>60</v>
      </c>
      <c r="L41" s="206"/>
      <c r="M41" s="224"/>
      <c r="N41" s="224"/>
      <c r="O41" s="229"/>
    </row>
    <row r="42" spans="2:15" ht="18" customHeight="1">
      <c r="B42" s="391">
        <f>B41+1</f>
        <v>65</v>
      </c>
      <c r="C42" s="215" t="s">
        <v>83</v>
      </c>
      <c r="D42" s="215"/>
      <c r="E42" s="32"/>
      <c r="F42" s="677"/>
      <c r="G42" s="220">
        <v>15</v>
      </c>
      <c r="H42" s="221">
        <v>12000</v>
      </c>
      <c r="I42" s="326">
        <f>IF(G42=0,0,100/G42+$F$39)</f>
        <v>9.666666666666668</v>
      </c>
      <c r="J42" s="514">
        <v>15</v>
      </c>
      <c r="K42" s="218">
        <f>H42*I42/100*J42/100</f>
        <v>174.00000000000003</v>
      </c>
      <c r="L42" s="206"/>
      <c r="M42" s="224"/>
      <c r="N42" s="224"/>
      <c r="O42" s="229"/>
    </row>
    <row r="43" spans="2:15" ht="18" customHeight="1">
      <c r="B43" s="391">
        <f>B42+1</f>
        <v>66</v>
      </c>
      <c r="C43" s="208" t="s">
        <v>84</v>
      </c>
      <c r="D43" s="208"/>
      <c r="E43" s="32"/>
      <c r="F43" s="677"/>
      <c r="G43" s="220"/>
      <c r="H43" s="217"/>
      <c r="I43" s="326">
        <f>IF(G43=0,0,100/G43+$F$39)</f>
        <v>0</v>
      </c>
      <c r="J43" s="515"/>
      <c r="K43" s="218">
        <f>H43*I43/100*J43/100</f>
        <v>0</v>
      </c>
      <c r="L43" s="206"/>
      <c r="M43" s="224"/>
      <c r="N43" s="224"/>
      <c r="O43" s="229"/>
    </row>
    <row r="44" spans="2:15" ht="18" customHeight="1">
      <c r="B44" s="394">
        <f>B43+1</f>
        <v>67</v>
      </c>
      <c r="C44" s="209" t="s">
        <v>218</v>
      </c>
      <c r="D44" s="224"/>
      <c r="G44" s="690">
        <v>20</v>
      </c>
      <c r="H44" s="221">
        <v>40000</v>
      </c>
      <c r="I44" s="326">
        <f>IF(G44=0,0,100/G44+$F$39)</f>
        <v>8</v>
      </c>
      <c r="J44" s="516">
        <v>5</v>
      </c>
      <c r="K44" s="218">
        <f>H44*I44/100*J44/100</f>
        <v>160</v>
      </c>
      <c r="L44" s="206"/>
      <c r="M44" s="224"/>
      <c r="N44" s="224"/>
      <c r="O44" s="229"/>
    </row>
    <row r="45" spans="2:15" ht="18" customHeight="1">
      <c r="B45" s="386">
        <f>B44+1</f>
        <v>68</v>
      </c>
      <c r="C45" s="787" t="s">
        <v>85</v>
      </c>
      <c r="D45" s="788"/>
      <c r="E45" s="788"/>
      <c r="F45" s="788"/>
      <c r="G45" s="789"/>
      <c r="H45" s="256">
        <f>SUM(H41:H44)</f>
        <v>57000</v>
      </c>
      <c r="I45" s="354">
        <f>IF(J45=0,0,K45/J45*100)</f>
        <v>8.65934065934066</v>
      </c>
      <c r="J45" s="257">
        <f>H41*J41%+H42*J42%+H43*J43%+H44*J44%</f>
        <v>4550</v>
      </c>
      <c r="K45" s="240">
        <f>SUM(K41:K44)</f>
        <v>394</v>
      </c>
      <c r="L45" s="206"/>
      <c r="M45" s="229"/>
      <c r="N45" s="224"/>
      <c r="O45" s="229"/>
    </row>
    <row r="46" spans="2:15" ht="18" customHeight="1">
      <c r="B46" s="394">
        <f>B45+1</f>
        <v>69</v>
      </c>
      <c r="C46" s="679" t="s">
        <v>86</v>
      </c>
      <c r="D46" s="21"/>
      <c r="E46" s="21"/>
      <c r="F46" s="734">
        <f>IF('Seite 1 '!S5=0,'Seite 1 '!G5,'Seite 1 '!G5*'Seite 1 '!S5)</f>
        <v>5</v>
      </c>
      <c r="G46" s="693"/>
      <c r="H46" s="492"/>
      <c r="I46" s="493"/>
      <c r="J46" s="256">
        <f>IF(F46=0,0,J45/F46)</f>
        <v>910</v>
      </c>
      <c r="K46" s="244">
        <f>IF(F46=0,0,K45/F46)</f>
        <v>78.8</v>
      </c>
      <c r="L46" s="206"/>
      <c r="M46" s="247">
        <f>IF('[1]Seite 1 '!T12=0,'[1]Seite 1 '!O12,'[1]Seite 1 '!O12*'[1]Seite 1 '!T12)</f>
        <v>0</v>
      </c>
      <c r="N46" s="224"/>
      <c r="O46" s="229"/>
    </row>
    <row r="47" spans="2:15" ht="12.75">
      <c r="B47" s="231"/>
      <c r="C47" s="206"/>
      <c r="D47" s="206"/>
      <c r="E47" s="206"/>
      <c r="F47" s="206"/>
      <c r="G47" s="206"/>
      <c r="H47" s="225"/>
      <c r="I47" s="225"/>
      <c r="L47" s="206"/>
      <c r="M47" s="206"/>
      <c r="N47" s="206"/>
      <c r="O47" s="637"/>
    </row>
    <row r="48" spans="2:15" ht="18" customHeight="1">
      <c r="B48" s="387">
        <f>B46+1</f>
        <v>70</v>
      </c>
      <c r="C48" s="243" t="s">
        <v>87</v>
      </c>
      <c r="D48" s="214"/>
      <c r="E48" s="214"/>
      <c r="F48" s="213"/>
      <c r="G48" s="213"/>
      <c r="J48" s="249"/>
      <c r="K48" s="250"/>
      <c r="L48" s="206"/>
      <c r="M48" s="237">
        <f>IF(F58=0,,K57/F58)</f>
        <v>300</v>
      </c>
      <c r="N48" s="212"/>
      <c r="O48" s="237">
        <f>IF('Seite 1 '!I10=0,0,M48/'Seite 1 '!I10)</f>
        <v>300</v>
      </c>
    </row>
    <row r="49" spans="2:15" ht="18" customHeight="1">
      <c r="B49" s="390">
        <f>B48+1</f>
        <v>71</v>
      </c>
      <c r="C49" s="736" t="s">
        <v>217</v>
      </c>
      <c r="D49" s="737"/>
      <c r="E49" s="677"/>
      <c r="F49" s="735">
        <f>F39</f>
        <v>3</v>
      </c>
      <c r="G49" s="435" t="s">
        <v>74</v>
      </c>
      <c r="H49" s="435" t="s">
        <v>75</v>
      </c>
      <c r="I49" s="435" t="s">
        <v>76</v>
      </c>
      <c r="J49" s="435" t="s">
        <v>77</v>
      </c>
      <c r="K49" s="436" t="s">
        <v>78</v>
      </c>
      <c r="L49" s="206"/>
      <c r="M49" s="246"/>
      <c r="N49" s="245"/>
      <c r="O49" s="246"/>
    </row>
    <row r="50" spans="2:15" ht="18" customHeight="1">
      <c r="B50" s="390">
        <f>B49+1</f>
        <v>72</v>
      </c>
      <c r="C50" s="683" t="s">
        <v>88</v>
      </c>
      <c r="D50" s="45"/>
      <c r="E50" s="684"/>
      <c r="F50" s="680">
        <v>1</v>
      </c>
      <c r="G50" s="437" t="s">
        <v>79</v>
      </c>
      <c r="H50" s="437" t="s">
        <v>171</v>
      </c>
      <c r="I50" s="438" t="s">
        <v>80</v>
      </c>
      <c r="J50" s="438" t="s">
        <v>81</v>
      </c>
      <c r="K50" s="439" t="s">
        <v>81</v>
      </c>
      <c r="L50" s="206"/>
      <c r="M50" s="246"/>
      <c r="N50" s="245"/>
      <c r="O50" s="246"/>
    </row>
    <row r="51" spans="2:15" ht="18" customHeight="1">
      <c r="B51" s="391">
        <f>B50+1</f>
        <v>73</v>
      </c>
      <c r="C51" s="685" t="s">
        <v>89</v>
      </c>
      <c r="D51" s="215"/>
      <c r="E51" s="32"/>
      <c r="F51" s="677"/>
      <c r="G51" s="216"/>
      <c r="H51" s="217"/>
      <c r="I51" s="327">
        <f aca="true" t="shared" si="3" ref="I51:I56">IF(G51=0,0,100/G51+($F$50+$F$49))</f>
        <v>0</v>
      </c>
      <c r="J51" s="513"/>
      <c r="K51" s="218">
        <f aca="true" t="shared" si="4" ref="K51:K56">H51*I51/100*J51/100</f>
        <v>0</v>
      </c>
      <c r="L51" s="206"/>
      <c r="M51" s="224"/>
      <c r="N51" s="224"/>
      <c r="O51" s="229"/>
    </row>
    <row r="52" spans="2:15" ht="18" customHeight="1">
      <c r="B52" s="391">
        <f aca="true" t="shared" si="5" ref="B52:B58">B51+1</f>
        <v>74</v>
      </c>
      <c r="C52" s="685" t="s">
        <v>90</v>
      </c>
      <c r="D52" s="215"/>
      <c r="E52" s="32"/>
      <c r="F52" s="677"/>
      <c r="G52" s="220"/>
      <c r="H52" s="221"/>
      <c r="I52" s="327">
        <f t="shared" si="3"/>
        <v>0</v>
      </c>
      <c r="J52" s="514"/>
      <c r="K52" s="218">
        <f t="shared" si="4"/>
        <v>0</v>
      </c>
      <c r="L52" s="206"/>
      <c r="M52" s="224"/>
      <c r="N52" s="224"/>
      <c r="O52" s="229"/>
    </row>
    <row r="53" spans="2:15" ht="18" customHeight="1">
      <c r="B53" s="391">
        <f t="shared" si="5"/>
        <v>75</v>
      </c>
      <c r="C53" s="685" t="s">
        <v>91</v>
      </c>
      <c r="D53" s="215"/>
      <c r="E53" s="32"/>
      <c r="F53" s="677"/>
      <c r="G53" s="255"/>
      <c r="H53" s="222"/>
      <c r="I53" s="327">
        <f t="shared" si="3"/>
        <v>0</v>
      </c>
      <c r="J53" s="517"/>
      <c r="K53" s="218">
        <f t="shared" si="4"/>
        <v>0</v>
      </c>
      <c r="L53" s="206"/>
      <c r="M53" s="224"/>
      <c r="N53" s="224"/>
      <c r="O53" s="229"/>
    </row>
    <row r="54" spans="2:15" ht="18" customHeight="1">
      <c r="B54" s="391">
        <f t="shared" si="5"/>
        <v>76</v>
      </c>
      <c r="C54" s="685" t="s">
        <v>203</v>
      </c>
      <c r="D54" s="215"/>
      <c r="E54" s="32"/>
      <c r="F54" s="677"/>
      <c r="G54" s="216">
        <v>50</v>
      </c>
      <c r="H54" s="217">
        <v>50000</v>
      </c>
      <c r="I54" s="327">
        <f t="shared" si="3"/>
        <v>6</v>
      </c>
      <c r="J54" s="513">
        <v>10</v>
      </c>
      <c r="K54" s="218">
        <f t="shared" si="4"/>
        <v>300</v>
      </c>
      <c r="L54" s="206"/>
      <c r="M54" s="224"/>
      <c r="N54" s="224"/>
      <c r="O54" s="229"/>
    </row>
    <row r="55" spans="2:15" ht="18" customHeight="1">
      <c r="B55" s="391">
        <f t="shared" si="5"/>
        <v>77</v>
      </c>
      <c r="C55" s="686" t="s">
        <v>92</v>
      </c>
      <c r="D55" s="208"/>
      <c r="E55" s="32"/>
      <c r="F55" s="677"/>
      <c r="G55" s="220">
        <v>25</v>
      </c>
      <c r="H55" s="221">
        <v>15000</v>
      </c>
      <c r="I55" s="327">
        <f t="shared" si="3"/>
        <v>8</v>
      </c>
      <c r="J55" s="514">
        <v>100</v>
      </c>
      <c r="K55" s="218">
        <f t="shared" si="4"/>
        <v>1200</v>
      </c>
      <c r="L55" s="206"/>
      <c r="M55" s="224"/>
      <c r="N55" s="224"/>
      <c r="O55" s="229"/>
    </row>
    <row r="56" spans="2:15" ht="18" customHeight="1">
      <c r="B56" s="391">
        <f t="shared" si="5"/>
        <v>78</v>
      </c>
      <c r="C56" s="687"/>
      <c r="D56" s="688"/>
      <c r="E56" s="689"/>
      <c r="F56" s="689"/>
      <c r="G56" s="690"/>
      <c r="H56" s="221"/>
      <c r="I56" s="327">
        <f t="shared" si="3"/>
        <v>0</v>
      </c>
      <c r="J56" s="514"/>
      <c r="K56" s="218">
        <f t="shared" si="4"/>
        <v>0</v>
      </c>
      <c r="L56" s="206"/>
      <c r="M56" s="224"/>
      <c r="N56" s="224"/>
      <c r="O56" s="229"/>
    </row>
    <row r="57" spans="2:15" ht="18" customHeight="1">
      <c r="B57" s="386">
        <f t="shared" si="5"/>
        <v>79</v>
      </c>
      <c r="C57" s="678" t="s">
        <v>93</v>
      </c>
      <c r="D57" s="239"/>
      <c r="E57" s="2"/>
      <c r="F57" s="21"/>
      <c r="G57" s="21"/>
      <c r="H57" s="256">
        <f>SUM(H51:H56)</f>
        <v>65000</v>
      </c>
      <c r="I57" s="291">
        <f>IF(J57=0,0,K57/J57*100)</f>
        <v>7.5</v>
      </c>
      <c r="J57" s="257">
        <f>H51*J51%+H52*J52%+H53*J53%+H54*J54%+H55*J55%+H56*J56%</f>
        <v>20000</v>
      </c>
      <c r="K57" s="240">
        <f>SUM(K51:K56)</f>
        <v>1500</v>
      </c>
      <c r="L57" s="206"/>
      <c r="M57" s="229"/>
      <c r="N57" s="224"/>
      <c r="O57" s="229"/>
    </row>
    <row r="58" spans="2:15" ht="18" customHeight="1">
      <c r="B58" s="394">
        <f t="shared" si="5"/>
        <v>80</v>
      </c>
      <c r="C58" s="679" t="s">
        <v>197</v>
      </c>
      <c r="D58" s="21"/>
      <c r="E58" s="691"/>
      <c r="F58" s="692">
        <f>F46</f>
        <v>5</v>
      </c>
      <c r="G58" s="492"/>
      <c r="H58" s="492"/>
      <c r="I58" s="700"/>
      <c r="J58" s="256">
        <f>IF(F58=0,0,J57/F58)</f>
        <v>4000</v>
      </c>
      <c r="K58" s="251">
        <f>IF(F58=0,0,K57/F58)</f>
        <v>300</v>
      </c>
      <c r="L58" s="206"/>
      <c r="M58" s="224"/>
      <c r="N58" s="224"/>
      <c r="O58" s="229"/>
    </row>
    <row r="59" spans="2:15" ht="12.75">
      <c r="B59" s="231"/>
      <c r="C59" s="206"/>
      <c r="D59" s="206"/>
      <c r="E59" s="206"/>
      <c r="F59" s="206"/>
      <c r="G59" s="206"/>
      <c r="H59" s="206"/>
      <c r="I59" s="206"/>
      <c r="L59" s="206"/>
      <c r="M59" s="206"/>
      <c r="N59" s="206"/>
      <c r="O59" s="637"/>
    </row>
    <row r="60" spans="2:15" ht="18" customHeight="1">
      <c r="B60" s="386">
        <f>B58+1</f>
        <v>81</v>
      </c>
      <c r="C60" s="226" t="s">
        <v>94</v>
      </c>
      <c r="D60" s="226"/>
      <c r="E60" s="225"/>
      <c r="F60" s="225"/>
      <c r="G60" s="227"/>
      <c r="H60" s="225"/>
      <c r="I60" s="697"/>
      <c r="J60" s="21"/>
      <c r="K60" s="199"/>
      <c r="L60" s="206"/>
      <c r="M60" s="252">
        <f>M38+M48</f>
        <v>378.8</v>
      </c>
      <c r="N60" s="236"/>
      <c r="O60" s="284">
        <f>IF('Seite 1 '!I10=0,0,M60/'Seite 1 '!I10)</f>
        <v>378.8</v>
      </c>
    </row>
  </sheetData>
  <sheetProtection sheet="1" objects="1" scenarios="1"/>
  <mergeCells count="4">
    <mergeCell ref="I2:O2"/>
    <mergeCell ref="G5:H5"/>
    <mergeCell ref="C45:G45"/>
    <mergeCell ref="C15:F15"/>
  </mergeCells>
  <printOptions horizontalCentered="1"/>
  <pageMargins left="0.5905511811023623" right="0.3937007874015748" top="0.5905511811023623" bottom="0.5905511811023623" header="0.3937007874015748" footer="0.3937007874015748"/>
  <pageSetup blackAndWhite="1" fitToHeight="1" fitToWidth="1" horizontalDpi="300" verticalDpi="300" orientation="portrait" paperSize="9" scale="82" r:id="rId1"/>
  <headerFooter alignWithMargins="0">
    <oddFooter>&amp;LLEL Schwäbisch Gmünd 
&amp;D&amp;C&amp;F&amp;R&amp;A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showZeros="0" zoomScale="90" zoomScaleNormal="90" workbookViewId="0" topLeftCell="A1">
      <selection activeCell="U13" sqref="U13"/>
    </sheetView>
  </sheetViews>
  <sheetFormatPr defaultColWidth="11.421875" defaultRowHeight="12.75"/>
  <cols>
    <col min="1" max="1" width="1.7109375" style="206" customWidth="1"/>
    <col min="2" max="2" width="4.28125" style="231" customWidth="1"/>
    <col min="3" max="3" width="16.57421875" style="206" customWidth="1"/>
    <col min="4" max="4" width="9.7109375" style="206" customWidth="1"/>
    <col min="5" max="5" width="12.7109375" style="206" customWidth="1"/>
    <col min="6" max="6" width="11.00390625" style="206" customWidth="1"/>
    <col min="7" max="7" width="10.8515625" style="206" customWidth="1"/>
    <col min="8" max="8" width="23.57421875" style="206" customWidth="1"/>
    <col min="9" max="9" width="2.7109375" style="206" customWidth="1"/>
    <col min="10" max="10" width="9.7109375" style="206" hidden="1" customWidth="1"/>
    <col min="11" max="11" width="1.8515625" style="206" customWidth="1"/>
    <col min="12" max="12" width="17.140625" style="206" customWidth="1"/>
    <col min="13" max="16384" width="11.421875" style="206" customWidth="1"/>
  </cols>
  <sheetData>
    <row r="1" ht="9" customHeight="1">
      <c r="A1" s="253"/>
    </row>
    <row r="2" spans="2:12" ht="21" customHeight="1">
      <c r="B2" s="233" t="s">
        <v>72</v>
      </c>
      <c r="E2" s="1"/>
      <c r="F2" s="793" t="str">
        <f>'Seite 1 '!I2</f>
        <v>Fohlenaufzucht 6 bis 36 Mon.</v>
      </c>
      <c r="G2" s="794"/>
      <c r="H2" s="794"/>
      <c r="I2" s="794"/>
      <c r="J2" s="794"/>
      <c r="K2" s="794"/>
      <c r="L2" s="795"/>
    </row>
    <row r="3" spans="2:3" ht="14.25" customHeight="1">
      <c r="B3" s="497" t="str">
        <f>'Seite 1 '!B3</f>
        <v> - Produktionsverfahren Fohlenaufzucht -</v>
      </c>
      <c r="C3"/>
    </row>
    <row r="4" spans="2:12" ht="22.5" customHeight="1">
      <c r="B4" s="270"/>
      <c r="C4"/>
      <c r="E4" s="207"/>
      <c r="F4" s="207"/>
      <c r="G4" s="207"/>
      <c r="H4" s="207"/>
      <c r="J4" s="698" t="s">
        <v>186</v>
      </c>
      <c r="K4" s="298"/>
      <c r="L4" s="698" t="str">
        <f>'Seite 2'!O34</f>
        <v>€ je Jungpferd</v>
      </c>
    </row>
    <row r="5" spans="2:12" ht="12.75">
      <c r="B5" s="270"/>
      <c r="C5"/>
      <c r="E5" s="207"/>
      <c r="F5" s="207"/>
      <c r="G5" s="207"/>
      <c r="H5" s="207"/>
      <c r="J5" s="297"/>
      <c r="K5" s="298"/>
      <c r="L5" s="297"/>
    </row>
    <row r="6" spans="2:12" ht="19.5" customHeight="1">
      <c r="B6" s="386">
        <f>'Seite 2'!B60</f>
        <v>81</v>
      </c>
      <c r="C6" s="226" t="s">
        <v>94</v>
      </c>
      <c r="D6" s="225"/>
      <c r="E6" s="225"/>
      <c r="F6" s="227"/>
      <c r="G6" s="225"/>
      <c r="H6" s="285"/>
      <c r="J6" s="272">
        <f>'Seite 2'!M60</f>
        <v>378.8</v>
      </c>
      <c r="K6" s="273"/>
      <c r="L6" s="284">
        <f>IF('Seite 1 '!I10=0,0,J6/'Seite 1 '!I10)</f>
        <v>378.8</v>
      </c>
    </row>
    <row r="7" spans="10:12" ht="8.25" customHeight="1">
      <c r="J7" s="268"/>
      <c r="K7" s="224"/>
      <c r="L7" s="631"/>
    </row>
    <row r="8" spans="2:13" ht="18" customHeight="1" hidden="1">
      <c r="B8" s="387">
        <f>B6+1</f>
        <v>82</v>
      </c>
      <c r="C8" s="274">
        <f>IF(Stammdaten!C3=2," Kosten Milchquote",0)</f>
        <v>0</v>
      </c>
      <c r="D8" s="259"/>
      <c r="E8" s="277">
        <f>IF(Stammdaten!C3=2," Milch / Kuh (kg) ",0)</f>
        <v>0</v>
      </c>
      <c r="F8" s="328">
        <f>IF(Stammdaten!C3=2,'Seite 1 '!I10,0)</f>
        <v>0</v>
      </c>
      <c r="G8" s="441">
        <f>IF(Stammdaten!C3=2,"Preis/kg (€)",0)</f>
        <v>0</v>
      </c>
      <c r="H8" s="340">
        <v>0</v>
      </c>
      <c r="I8" s="248"/>
      <c r="J8" s="292">
        <f>F8*H8*F9/100</f>
        <v>0</v>
      </c>
      <c r="K8" s="278"/>
      <c r="L8" s="237">
        <f>IF('Seite 1 '!I10=0,0,J8/'Seite 1 '!I10)</f>
        <v>0</v>
      </c>
      <c r="M8" s="279"/>
    </row>
    <row r="9" spans="2:12" ht="15" customHeight="1" hidden="1">
      <c r="B9" s="388">
        <f>B8+1</f>
        <v>83</v>
      </c>
      <c r="C9" s="260">
        <f>IF(Stammdaten!C3=2," Jahreskosten",0)</f>
        <v>0</v>
      </c>
      <c r="D9" s="210"/>
      <c r="E9" s="440">
        <f>IF(Stammdaten!C3=2,"% ",0)</f>
        <v>0</v>
      </c>
      <c r="F9" s="271">
        <v>0</v>
      </c>
      <c r="G9" s="440">
        <f>IF(Stammdaten!C3=2,"€ / kg ",0)</f>
        <v>0</v>
      </c>
      <c r="H9" s="276">
        <f>H8*F9/100</f>
        <v>0</v>
      </c>
      <c r="J9" s="246"/>
      <c r="K9" s="224"/>
      <c r="L9" s="282"/>
    </row>
    <row r="10" spans="10:12" ht="15" customHeight="1">
      <c r="J10" s="268"/>
      <c r="K10" s="224"/>
      <c r="L10" s="631"/>
    </row>
    <row r="11" spans="2:12" ht="24" customHeight="1">
      <c r="B11" s="387">
        <f>B6+1</f>
        <v>82</v>
      </c>
      <c r="C11" s="274" t="s">
        <v>95</v>
      </c>
      <c r="D11" s="275"/>
      <c r="E11" s="719"/>
      <c r="F11" s="442" t="s">
        <v>96</v>
      </c>
      <c r="G11" s="287" t="s">
        <v>167</v>
      </c>
      <c r="H11" s="286" t="s">
        <v>168</v>
      </c>
      <c r="J11" s="242">
        <f>H12</f>
        <v>1518</v>
      </c>
      <c r="K11" s="224"/>
      <c r="L11" s="284">
        <f>IF('Seite 1 '!I10=0,0,J11/'Seite 1 '!I10)</f>
        <v>1518</v>
      </c>
    </row>
    <row r="12" spans="2:12" ht="15" customHeight="1">
      <c r="B12" s="389">
        <f>B11+1</f>
        <v>83</v>
      </c>
      <c r="C12" s="219" t="s">
        <v>97</v>
      </c>
      <c r="D12" s="219"/>
      <c r="E12" s="720" t="str">
        <f>"("&amp;"Z. "&amp;'Seite 2'!B21&amp;")"</f>
        <v>(Z. 52)</v>
      </c>
      <c r="F12" s="342">
        <f>'Seite 1 '!M60</f>
        <v>121.5</v>
      </c>
      <c r="G12" s="262">
        <f>IF(H12=0,0,H12/F12)</f>
        <v>12.493827160493828</v>
      </c>
      <c r="H12" s="772">
        <f>H13+H14</f>
        <v>1518</v>
      </c>
      <c r="J12" s="224"/>
      <c r="K12" s="224"/>
      <c r="L12" s="632"/>
    </row>
    <row r="13" spans="2:12" ht="15" customHeight="1">
      <c r="B13" s="389">
        <f>B12+1</f>
        <v>84</v>
      </c>
      <c r="C13" s="219" t="s">
        <v>98</v>
      </c>
      <c r="D13" s="797" t="s">
        <v>204</v>
      </c>
      <c r="E13" s="798"/>
      <c r="F13" s="343">
        <v>20</v>
      </c>
      <c r="G13" s="263">
        <v>15</v>
      </c>
      <c r="H13" s="772">
        <f>F13*G13</f>
        <v>300</v>
      </c>
      <c r="J13" s="224"/>
      <c r="K13" s="224"/>
      <c r="L13" s="632"/>
    </row>
    <row r="14" spans="2:12" ht="15" customHeight="1">
      <c r="B14" s="388">
        <f>B13+1</f>
        <v>85</v>
      </c>
      <c r="C14" s="210" t="s">
        <v>99</v>
      </c>
      <c r="D14" s="799" t="s">
        <v>219</v>
      </c>
      <c r="E14" s="800"/>
      <c r="F14" s="344">
        <f>F12-F13</f>
        <v>101.5</v>
      </c>
      <c r="G14" s="264">
        <v>12</v>
      </c>
      <c r="H14" s="773">
        <f>F14*G14</f>
        <v>1218</v>
      </c>
      <c r="J14" s="224"/>
      <c r="K14" s="224"/>
      <c r="L14" s="632"/>
    </row>
    <row r="15" spans="10:12" ht="15" customHeight="1">
      <c r="J15" s="268"/>
      <c r="K15" s="224"/>
      <c r="L15" s="631"/>
    </row>
    <row r="16" spans="2:12" ht="18" customHeight="1">
      <c r="B16" s="387">
        <f>B14+1</f>
        <v>86</v>
      </c>
      <c r="C16" s="274" t="s">
        <v>100</v>
      </c>
      <c r="D16" s="275"/>
      <c r="E16" s="280"/>
      <c r="F16" s="281"/>
      <c r="G16" s="261"/>
      <c r="H16" s="286" t="s">
        <v>239</v>
      </c>
      <c r="J16" s="242">
        <f>H17+H18</f>
        <v>20</v>
      </c>
      <c r="K16" s="224"/>
      <c r="L16" s="284">
        <f>IF('Seite 1 '!I10=0,0,J16/'Seite 1 '!I10)</f>
        <v>20</v>
      </c>
    </row>
    <row r="17" spans="2:12" ht="15" customHeight="1">
      <c r="B17" s="389">
        <f>B16+1</f>
        <v>87</v>
      </c>
      <c r="C17" s="223" t="s">
        <v>205</v>
      </c>
      <c r="D17" s="365"/>
      <c r="E17" s="365"/>
      <c r="F17" s="365"/>
      <c r="G17" s="365"/>
      <c r="H17" s="265">
        <v>20</v>
      </c>
      <c r="J17" s="224"/>
      <c r="K17" s="224"/>
      <c r="L17" s="632"/>
    </row>
    <row r="18" spans="2:12" ht="15" customHeight="1">
      <c r="B18" s="388">
        <f>B17+1</f>
        <v>88</v>
      </c>
      <c r="C18" s="266"/>
      <c r="D18" s="230"/>
      <c r="E18" s="230"/>
      <c r="F18" s="230"/>
      <c r="G18" s="230"/>
      <c r="H18" s="267"/>
      <c r="J18" s="224"/>
      <c r="K18" s="282"/>
      <c r="L18" s="632"/>
    </row>
    <row r="19" spans="10:12" ht="15" customHeight="1">
      <c r="J19" s="268"/>
      <c r="K19" s="224"/>
      <c r="L19" s="631"/>
    </row>
    <row r="20" spans="2:12" ht="18" customHeight="1">
      <c r="B20" s="387">
        <f>B18+1</f>
        <v>89</v>
      </c>
      <c r="C20" s="274" t="s">
        <v>101</v>
      </c>
      <c r="D20" s="464"/>
      <c r="E20" s="465" t="s">
        <v>169</v>
      </c>
      <c r="F20" s="466"/>
      <c r="G20" s="465" t="s">
        <v>102</v>
      </c>
      <c r="H20" s="461"/>
      <c r="J20" s="242">
        <f>IF('Seite 2'!F46=0,0,E21*G21%/'Seite 2'!F46)</f>
        <v>120</v>
      </c>
      <c r="K20" s="224"/>
      <c r="L20" s="284">
        <f>IF('Seite 1 '!I10=0,0,J20/'Seite 1 '!I10)</f>
        <v>120</v>
      </c>
    </row>
    <row r="21" spans="2:12" ht="15" customHeight="1">
      <c r="B21" s="388">
        <f>B20+1</f>
        <v>90</v>
      </c>
      <c r="C21" s="494"/>
      <c r="D21" s="492"/>
      <c r="E21" s="462">
        <v>12000</v>
      </c>
      <c r="F21" s="463"/>
      <c r="G21" s="519">
        <v>5</v>
      </c>
      <c r="H21" s="364"/>
      <c r="J21" s="283"/>
      <c r="K21" s="224"/>
      <c r="L21" s="353"/>
    </row>
    <row r="22" spans="2:12" ht="15" customHeight="1">
      <c r="B22" s="232"/>
      <c r="C22" s="319"/>
      <c r="D22" s="224"/>
      <c r="E22" s="229"/>
      <c r="F22" s="229"/>
      <c r="G22" s="443"/>
      <c r="H22" s="444"/>
      <c r="J22" s="283"/>
      <c r="K22" s="224"/>
      <c r="L22" s="353"/>
    </row>
    <row r="23" spans="2:12" ht="18" customHeight="1">
      <c r="B23" s="386">
        <f>B21+1</f>
        <v>91</v>
      </c>
      <c r="C23" s="269" t="s">
        <v>103</v>
      </c>
      <c r="D23" s="225"/>
      <c r="E23" s="238"/>
      <c r="F23" s="238"/>
      <c r="G23" s="238"/>
      <c r="H23" s="706" t="str">
        <f>"(Z."&amp;B6&amp;"+Z."&amp;B11&amp;"+Z."&amp;B16&amp;"+Z."&amp;B20&amp;")"</f>
        <v>(Z.81+Z.82+Z.86+Z.89)</v>
      </c>
      <c r="I23" s="212"/>
      <c r="J23" s="284">
        <f>J6+J8+J11+J16+J20</f>
        <v>2036.8</v>
      </c>
      <c r="K23" s="212"/>
      <c r="L23" s="284">
        <f>IF('Seite 1 '!I10=0,0,J23/'Seite 1 '!I10)</f>
        <v>2036.8</v>
      </c>
    </row>
    <row r="24" spans="2:12" ht="15" customHeight="1" thickBot="1">
      <c r="B24" s="232"/>
      <c r="C24" s="403"/>
      <c r="D24" s="212"/>
      <c r="E24" s="445"/>
      <c r="F24" s="445"/>
      <c r="G24" s="445"/>
      <c r="H24" s="446"/>
      <c r="I24" s="212"/>
      <c r="J24" s="447"/>
      <c r="K24" s="212"/>
      <c r="L24" s="447"/>
    </row>
    <row r="25" spans="2:12" ht="18" customHeight="1" thickTop="1">
      <c r="B25" s="456">
        <f>B23+1</f>
        <v>92</v>
      </c>
      <c r="C25" s="457" t="s">
        <v>104</v>
      </c>
      <c r="D25" s="458"/>
      <c r="E25" s="459"/>
      <c r="F25" s="459"/>
      <c r="G25" s="459"/>
      <c r="H25" s="705" t="str">
        <f>"(Z."&amp;'Seite 1 '!B56&amp;"+Z."&amp;B23&amp;")"</f>
        <v>(Z.41+Z.91)</v>
      </c>
      <c r="I25" s="448"/>
      <c r="J25" s="523">
        <f>'Seite 1 '!M56+'Seite 3'!J23</f>
        <v>8951.91</v>
      </c>
      <c r="K25" s="448"/>
      <c r="L25" s="634">
        <f>IF('Seite 1 '!I10=0,0,'Seite 3'!J25/'Seite 1 '!I10)</f>
        <v>8951.91</v>
      </c>
    </row>
    <row r="26" spans="2:12" ht="18" customHeight="1">
      <c r="B26" s="453">
        <f>B25+1</f>
        <v>93</v>
      </c>
      <c r="C26" s="460" t="s">
        <v>105</v>
      </c>
      <c r="D26" s="210"/>
      <c r="E26" s="211"/>
      <c r="F26" s="211"/>
      <c r="G26" s="211"/>
      <c r="H26" s="747" t="str">
        <f>"(Z."&amp;'Seite 1 '!B11&amp;" bis Z."&amp;'Seite 1 '!B14&amp;" )"</f>
        <v>(Z.4 bis Z.7 )</v>
      </c>
      <c r="I26" s="212"/>
      <c r="J26" s="524">
        <f>'Seite 1 '!K11+'Seite 1 '!K12+'Seite 1 '!K13+'Seite 1 '!K16+'Seite 1 '!K17+'Seite 1 '!K18+'Seite 1 '!K19+'Seite 1 '!K20+'Seite 1 '!K22+'Seite 1 '!K23+'Seite 1 '!K24</f>
        <v>243.6</v>
      </c>
      <c r="K26" s="212"/>
      <c r="L26" s="635">
        <f>IF('Seite 1 '!I10=0,0,'Seite 3'!J26/'Seite 1 '!I10)</f>
        <v>243.6</v>
      </c>
    </row>
    <row r="27" spans="2:12" ht="18" customHeight="1">
      <c r="B27" s="453">
        <f>B26+1</f>
        <v>94</v>
      </c>
      <c r="C27" s="522" t="s">
        <v>177</v>
      </c>
      <c r="D27" s="210"/>
      <c r="E27" s="211"/>
      <c r="F27" s="211"/>
      <c r="G27" s="211"/>
      <c r="H27" s="722" t="str">
        <f>"(Z."&amp;B25&amp;"-Z."&amp;B26&amp;")"</f>
        <v>(Z.92-Z.93)</v>
      </c>
      <c r="I27" s="212"/>
      <c r="J27" s="748"/>
      <c r="K27" s="212"/>
      <c r="L27" s="636">
        <f>L25-L26</f>
        <v>8708.31</v>
      </c>
    </row>
    <row r="28" spans="2:12" ht="15.75" customHeight="1" thickBot="1">
      <c r="B28" s="449"/>
      <c r="C28" s="212"/>
      <c r="D28" s="212"/>
      <c r="E28" s="212"/>
      <c r="F28" s="212"/>
      <c r="G28" s="212"/>
      <c r="H28" s="212"/>
      <c r="I28" s="212"/>
      <c r="J28" s="207"/>
      <c r="K28" s="224"/>
      <c r="L28" s="633"/>
    </row>
    <row r="29" spans="1:13" ht="19.5" customHeight="1" thickBot="1">
      <c r="A29" s="253"/>
      <c r="B29" s="525">
        <f>B27+1</f>
        <v>95</v>
      </c>
      <c r="C29" s="526" t="s">
        <v>178</v>
      </c>
      <c r="D29" s="527"/>
      <c r="E29" s="528"/>
      <c r="F29" s="529"/>
      <c r="G29" s="527"/>
      <c r="H29" s="707" t="str">
        <f>"(Z."&amp;'Seite 1 '!B58&amp;"-Z."&amp;B23&amp;")"</f>
        <v>(Z.42-Z.91)</v>
      </c>
      <c r="I29" s="212"/>
      <c r="J29" s="642">
        <f>'Seite 1 '!M58-'Seite 3'!J23</f>
        <v>-708.3099999999993</v>
      </c>
      <c r="K29" s="224"/>
      <c r="L29" s="643">
        <f>IF('Seite 1 '!I10=0,0,J29/'Seite 1 '!I10)</f>
        <v>-708.3099999999993</v>
      </c>
      <c r="M29" s="637"/>
    </row>
    <row r="30" spans="2:12" ht="15" customHeight="1">
      <c r="B30" s="449"/>
      <c r="C30" s="212"/>
      <c r="D30" s="212"/>
      <c r="E30" s="212"/>
      <c r="F30" s="212"/>
      <c r="G30" s="212"/>
      <c r="H30" s="212"/>
      <c r="I30" s="212"/>
      <c r="J30" s="207"/>
      <c r="K30" s="224"/>
      <c r="L30" s="633"/>
    </row>
    <row r="31" spans="2:12" ht="22.5" customHeight="1">
      <c r="B31" s="520"/>
      <c r="C31" s="521" t="s">
        <v>106</v>
      </c>
      <c r="D31" s="212"/>
      <c r="E31" s="212"/>
      <c r="F31" s="212"/>
      <c r="G31" s="212"/>
      <c r="H31" s="212"/>
      <c r="I31" s="212"/>
      <c r="J31" s="212"/>
      <c r="K31" s="224"/>
      <c r="L31" s="633"/>
    </row>
    <row r="32" spans="2:12" ht="21" customHeight="1">
      <c r="B32" s="450">
        <f>B29+1</f>
        <v>96</v>
      </c>
      <c r="C32" s="243" t="s">
        <v>222</v>
      </c>
      <c r="D32" s="213"/>
      <c r="E32" s="329"/>
      <c r="F32" s="330"/>
      <c r="G32" s="329"/>
      <c r="H32" s="724" t="str">
        <f>"(Z."&amp;B11&amp;"+Z."&amp;B29&amp;")"</f>
        <v>(Z.82+Z.95)</v>
      </c>
      <c r="I32" s="212"/>
      <c r="J32" s="644">
        <f>J29+J11</f>
        <v>809.6900000000007</v>
      </c>
      <c r="K32" s="290"/>
      <c r="L32" s="645">
        <f>IF('Seite 1 '!I10=0,0,J32/'Seite 1 '!I10)</f>
        <v>809.6900000000007</v>
      </c>
    </row>
    <row r="33" spans="2:12" ht="21" customHeight="1">
      <c r="B33" s="451">
        <f aca="true" t="shared" si="0" ref="B33:B41">B32+1</f>
        <v>97</v>
      </c>
      <c r="C33" s="302"/>
      <c r="D33" s="299"/>
      <c r="E33" s="468" t="s">
        <v>107</v>
      </c>
      <c r="F33" s="467">
        <f>F12</f>
        <v>121.5</v>
      </c>
      <c r="G33" s="300"/>
      <c r="H33" s="723" t="s">
        <v>170</v>
      </c>
      <c r="I33" s="212"/>
      <c r="K33" s="290"/>
      <c r="L33" s="648">
        <f>IF(F33=0,0,J32/F33)</f>
        <v>6.664115226337454</v>
      </c>
    </row>
    <row r="34" spans="2:12" ht="21" customHeight="1">
      <c r="B34" s="450">
        <f t="shared" si="0"/>
        <v>98</v>
      </c>
      <c r="C34" s="243" t="s">
        <v>108</v>
      </c>
      <c r="D34" s="213"/>
      <c r="E34" s="213"/>
      <c r="F34" s="213"/>
      <c r="G34" s="205"/>
      <c r="H34" s="724" t="str">
        <f>"(Z."&amp;'Seite 2'!B48&amp;"+Z."&amp;B29&amp;")"</f>
        <v>(Z.70+Z.95)</v>
      </c>
      <c r="I34" s="212"/>
      <c r="J34" s="644">
        <f>J29+'Seite 2'!M48</f>
        <v>-408.30999999999926</v>
      </c>
      <c r="K34" s="646"/>
      <c r="L34" s="645">
        <f>IF('Seite 1 '!I10=0,0,J34/'Seite 1 '!I10)</f>
        <v>-408.30999999999926</v>
      </c>
    </row>
    <row r="35" spans="2:12" ht="21" customHeight="1">
      <c r="B35" s="452">
        <f t="shared" si="0"/>
        <v>99</v>
      </c>
      <c r="C35" s="404"/>
      <c r="D35" s="404"/>
      <c r="E35" s="468" t="s">
        <v>109</v>
      </c>
      <c r="F35" s="301">
        <f>'Seite 2'!I57</f>
        <v>7.5</v>
      </c>
      <c r="G35" s="469"/>
      <c r="H35" s="470" t="s">
        <v>221</v>
      </c>
      <c r="I35" s="212"/>
      <c r="K35" s="290"/>
      <c r="L35" s="647">
        <f>IF(F35=0,0,IF('Seite 1 '!S5=0,J34*100/F35,J34/F35*100*'Seite 1 '!S5))</f>
        <v>-5444.133333333323</v>
      </c>
    </row>
    <row r="36" spans="1:12" ht="21" customHeight="1">
      <c r="A36" s="253"/>
      <c r="B36" s="450">
        <f t="shared" si="0"/>
        <v>100</v>
      </c>
      <c r="C36" s="739" t="s">
        <v>223</v>
      </c>
      <c r="D36" s="464"/>
      <c r="E36" s="464"/>
      <c r="F36" s="464"/>
      <c r="G36" s="464"/>
      <c r="H36" s="724" t="str">
        <f>"(Z."&amp;'Seite 2'!B48&amp;"+Z."&amp;B11&amp;"+Z."&amp;B29&amp;")"</f>
        <v>(Z.70+Z.82+Z.95)</v>
      </c>
      <c r="I36" s="212"/>
      <c r="J36" s="644">
        <f>J29+J11+'Seite 2'!M48</f>
        <v>1109.6900000000007</v>
      </c>
      <c r="K36" s="646"/>
      <c r="L36" s="645">
        <f>IF('Seite 1 '!I10=0,0,J36/'Seite 1 '!I10)</f>
        <v>1109.6900000000007</v>
      </c>
    </row>
    <row r="37" spans="2:12" ht="21" customHeight="1" thickBot="1">
      <c r="B37" s="741">
        <f t="shared" si="0"/>
        <v>101</v>
      </c>
      <c r="C37" s="742" t="s">
        <v>110</v>
      </c>
      <c r="D37" s="742"/>
      <c r="E37" s="742"/>
      <c r="F37" s="742"/>
      <c r="G37" s="742"/>
      <c r="H37" s="743" t="s">
        <v>166</v>
      </c>
      <c r="I37" s="744"/>
      <c r="K37" s="746"/>
      <c r="L37" s="745">
        <f>IF(F33=0,0,J36/F33)</f>
        <v>9.13325102880659</v>
      </c>
    </row>
    <row r="38" spans="2:12" ht="19.5" customHeight="1" hidden="1">
      <c r="B38" s="454">
        <f t="shared" si="0"/>
        <v>102</v>
      </c>
      <c r="C38" s="740">
        <f>IF(Stammdaten!C3=2," ... Gebäude und Quote",0)</f>
        <v>0</v>
      </c>
      <c r="D38" s="212"/>
      <c r="E38" s="212"/>
      <c r="F38" s="212"/>
      <c r="G38" s="212"/>
      <c r="H38" s="332">
        <f>IF(Stammdaten!C3=2,"(Z.120 + Z.102) ",0)</f>
        <v>0</v>
      </c>
      <c r="I38" s="212"/>
      <c r="J38" s="357">
        <f>IF(Stammdaten!C3=2,J29+#REF!+'Seite 3'!J8,0)</f>
        <v>0</v>
      </c>
      <c r="K38" s="290"/>
      <c r="L38" s="455"/>
    </row>
    <row r="39" spans="2:12" ht="19.5" customHeight="1" hidden="1">
      <c r="B39" s="451">
        <f t="shared" si="0"/>
        <v>103</v>
      </c>
      <c r="C39" s="352">
        <f>IF(Stammdaten!C3=2," =Verwertung der Quote bei fehlender Nutzungsalternative d. Gebäude",0)</f>
        <v>0</v>
      </c>
      <c r="D39" s="212"/>
      <c r="E39" s="212"/>
      <c r="F39" s="212"/>
      <c r="G39" s="212"/>
      <c r="H39" s="332">
        <f>IF(Stammdaten!C3=2,"€ / kg ",0)</f>
        <v>0</v>
      </c>
      <c r="I39" s="212"/>
      <c r="J39" s="362"/>
      <c r="K39" s="290"/>
      <c r="L39" s="495">
        <f>IF('Seite 1 '!I10=0,0,J38/'Seite 1 '!I10)</f>
        <v>0</v>
      </c>
    </row>
    <row r="40" spans="2:12" ht="19.5" customHeight="1" hidden="1">
      <c r="B40" s="450">
        <f t="shared" si="0"/>
        <v>104</v>
      </c>
      <c r="C40" s="472">
        <f>IF(Stammdaten!C3=2," ... Gebäude, Arbeit und Quote",0)</f>
        <v>0</v>
      </c>
      <c r="D40" s="213"/>
      <c r="E40" s="213"/>
      <c r="F40" s="213"/>
      <c r="G40" s="213"/>
      <c r="H40" s="471">
        <f>IF(Stammdaten!C3=2,"(Z.125 + Z.104) ",0)</f>
        <v>0</v>
      </c>
      <c r="I40" s="212"/>
      <c r="J40" s="241">
        <f>IF(Stammdaten!C3=2,J29+J11+#REF!+'Seite 3'!J8,0)</f>
        <v>0</v>
      </c>
      <c r="K40" s="290"/>
      <c r="L40" s="455"/>
    </row>
    <row r="41" spans="2:12" ht="19.5" customHeight="1" hidden="1" thickBot="1">
      <c r="B41" s="451">
        <f t="shared" si="0"/>
        <v>105</v>
      </c>
      <c r="C41" s="345">
        <f>IF(Stammdaten!C3=2," =Verwertung der Quote bei fehl. Nutzungsalternativen f. Arbeit u. Geb.",0)</f>
        <v>0</v>
      </c>
      <c r="D41" s="289"/>
      <c r="E41" s="289"/>
      <c r="F41" s="289"/>
      <c r="G41" s="289"/>
      <c r="H41" s="333">
        <f>IF(Stammdaten!C3=2,"€ / kg ",0)</f>
        <v>0</v>
      </c>
      <c r="I41" s="289"/>
      <c r="J41" s="363"/>
      <c r="K41" s="293"/>
      <c r="L41" s="496">
        <f>IF('Seite 1 '!I10=0,0,J40/'Seite 1 '!I10)</f>
        <v>0</v>
      </c>
    </row>
    <row r="42" spans="2:12" ht="38.25" customHeight="1" thickTop="1">
      <c r="B42" s="232"/>
      <c r="C42" s="212"/>
      <c r="D42" s="212"/>
      <c r="E42" s="212"/>
      <c r="F42" s="212"/>
      <c r="G42" s="212"/>
      <c r="H42" s="294"/>
      <c r="J42" s="295"/>
      <c r="K42" s="236"/>
      <c r="L42" s="351"/>
    </row>
    <row r="43" spans="9:12" ht="9.75" customHeight="1">
      <c r="I43" s="228"/>
      <c r="J43" s="796"/>
      <c r="K43" s="796"/>
      <c r="L43" s="796"/>
    </row>
    <row r="44" spans="9:12" ht="15" customHeight="1">
      <c r="I44" s="228"/>
      <c r="K44" s="228"/>
      <c r="L44" s="253"/>
    </row>
    <row r="45" spans="9:11" ht="12.75">
      <c r="I45" s="228"/>
      <c r="K45" s="228"/>
    </row>
    <row r="46" spans="9:11" ht="12.75">
      <c r="I46" s="228"/>
      <c r="K46" s="228"/>
    </row>
    <row r="47" spans="9:11" ht="12.75">
      <c r="I47" s="228"/>
      <c r="K47" s="228"/>
    </row>
    <row r="81" spans="10:12" ht="12.75">
      <c r="J81" s="228"/>
      <c r="L81" s="228"/>
    </row>
    <row r="82" spans="10:12" ht="12.75">
      <c r="J82" s="228"/>
      <c r="L82" s="228"/>
    </row>
  </sheetData>
  <sheetProtection sheet="1" objects="1" scenarios="1"/>
  <mergeCells count="4">
    <mergeCell ref="F2:L2"/>
    <mergeCell ref="J43:L43"/>
    <mergeCell ref="D13:E13"/>
    <mergeCell ref="D14:E14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84" r:id="rId1"/>
  <headerFooter alignWithMargins="0">
    <oddFooter>&amp;LLEL Schwäbisch Gmünd
&amp;D&amp;C&amp;F&amp;R&amp;A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showGridLines="0" showZeros="0" zoomScale="75" zoomScaleNormal="75" workbookViewId="0" topLeftCell="A1">
      <selection activeCell="N6" sqref="N6"/>
    </sheetView>
  </sheetViews>
  <sheetFormatPr defaultColWidth="11.421875" defaultRowHeight="12.75"/>
  <cols>
    <col min="1" max="1" width="1.7109375" style="206" customWidth="1"/>
    <col min="2" max="2" width="3.57421875" style="206" customWidth="1"/>
    <col min="3" max="3" width="9.8515625" style="206" customWidth="1"/>
    <col min="4" max="4" width="11.7109375" style="206" customWidth="1"/>
    <col min="5" max="5" width="13.28125" style="206" customWidth="1"/>
    <col min="6" max="6" width="9.8515625" style="206" customWidth="1"/>
    <col min="7" max="7" width="32.00390625" style="206" customWidth="1"/>
    <col min="8" max="8" width="18.57421875" style="531" hidden="1" customWidth="1"/>
    <col min="9" max="9" width="4.28125" style="206" hidden="1" customWidth="1"/>
    <col min="10" max="10" width="22.57421875" style="531" customWidth="1"/>
    <col min="11" max="11" width="14.00390625" style="206" customWidth="1"/>
    <col min="12" max="16384" width="11.421875" style="206" customWidth="1"/>
  </cols>
  <sheetData>
    <row r="1" ht="9" customHeight="1">
      <c r="A1" s="253"/>
    </row>
    <row r="2" spans="2:11" ht="30.75" customHeight="1">
      <c r="B2" s="532" t="s">
        <v>111</v>
      </c>
      <c r="F2" s="533"/>
      <c r="G2" s="801" t="str">
        <f>'Seite 1 '!I2</f>
        <v>Fohlenaufzucht 6 bis 36 Mon.</v>
      </c>
      <c r="H2" s="802"/>
      <c r="I2" s="802"/>
      <c r="J2" s="802"/>
      <c r="K2" s="803"/>
    </row>
    <row r="3" spans="2:11" ht="30.75" customHeight="1">
      <c r="B3" s="534" t="str">
        <f>'Seite 1 '!B3</f>
        <v> - Produktionsverfahren Fohlenaufzucht -</v>
      </c>
      <c r="C3" s="11"/>
      <c r="F3" s="533"/>
      <c r="G3" s="533"/>
      <c r="H3" s="535"/>
      <c r="I3" s="536"/>
      <c r="J3" s="535"/>
      <c r="K3" s="536"/>
    </row>
    <row r="4" spans="3:7" ht="16.5" customHeight="1">
      <c r="C4" s="537"/>
      <c r="F4" s="1"/>
      <c r="G4" s="538"/>
    </row>
    <row r="5" spans="2:10" ht="24" customHeight="1">
      <c r="B5" s="539" t="s">
        <v>112</v>
      </c>
      <c r="C5" s="1"/>
      <c r="D5" s="1"/>
      <c r="E5" s="540" t="s">
        <v>113</v>
      </c>
      <c r="F5" s="630">
        <f>'Seite 1 '!J10</f>
        <v>8000</v>
      </c>
      <c r="G5" s="541" t="str">
        <f>J7</f>
        <v>€ je Jungpferd</v>
      </c>
      <c r="H5" s="1"/>
      <c r="J5" s="206"/>
    </row>
    <row r="6" spans="2:11" ht="27" customHeight="1" thickBot="1">
      <c r="B6" s="542"/>
      <c r="C6" s="543"/>
      <c r="E6" s="544"/>
      <c r="F6" s="545"/>
      <c r="G6" s="545"/>
      <c r="H6" s="546"/>
      <c r="I6" s="545"/>
      <c r="J6" s="546"/>
      <c r="K6" s="545"/>
    </row>
    <row r="7" spans="2:11" ht="31.5" customHeight="1">
      <c r="B7" s="547"/>
      <c r="C7" s="288"/>
      <c r="D7" s="288"/>
      <c r="E7" s="749"/>
      <c r="F7" s="288"/>
      <c r="G7" s="288"/>
      <c r="H7" s="804" t="s">
        <v>179</v>
      </c>
      <c r="I7" s="806"/>
      <c r="J7" s="804" t="str">
        <f>'Seite 1 '!O7</f>
        <v>€ je Jungpferd</v>
      </c>
      <c r="K7" s="805"/>
    </row>
    <row r="8" spans="2:11" ht="31.5" customHeight="1">
      <c r="B8" s="548"/>
      <c r="C8" s="551" t="str">
        <f>'Seite 1 '!G10</f>
        <v>Jungpferd</v>
      </c>
      <c r="D8" s="550"/>
      <c r="F8" s="549"/>
      <c r="G8" s="549"/>
      <c r="H8" s="552">
        <f>'Seite 1 '!K10</f>
        <v>8000</v>
      </c>
      <c r="I8" s="212"/>
      <c r="J8" s="552">
        <f>IF('Seite 1 '!I10=0,0,H8/'Seite 1 '!$I$10)</f>
        <v>8000</v>
      </c>
      <c r="K8" s="553"/>
    </row>
    <row r="9" spans="2:11" ht="31.5" customHeight="1">
      <c r="B9" s="554"/>
      <c r="C9" s="555" t="s">
        <v>224</v>
      </c>
      <c r="D9" s="555"/>
      <c r="E9" s="555"/>
      <c r="F9" s="555"/>
      <c r="G9" s="555"/>
      <c r="H9" s="556">
        <f>'Seite 1 '!K11+'Seite 1 '!K12+'Seite 1 '!K13+'Seite 1 '!K16+'Seite 1 '!K17+'Seite 1 '!K18+'Seite 1 '!K19+'Seite 1 '!K20</f>
        <v>243.6</v>
      </c>
      <c r="I9" s="1"/>
      <c r="J9" s="626">
        <f>IF('Seite 1 '!I10=0,0,H9/'Seite 1 '!$I$10)</f>
        <v>243.6</v>
      </c>
      <c r="K9" s="553"/>
    </row>
    <row r="10" spans="2:11" ht="31.5" customHeight="1" hidden="1">
      <c r="B10" s="554"/>
      <c r="C10" s="555" t="s">
        <v>114</v>
      </c>
      <c r="D10" s="555"/>
      <c r="E10" s="555"/>
      <c r="F10" s="555"/>
      <c r="G10" s="555"/>
      <c r="H10" s="556">
        <f>'Seite 1 '!O21</f>
        <v>0</v>
      </c>
      <c r="I10" s="1"/>
      <c r="J10" s="626">
        <f>IF('Seite 1 '!I10=0,0,H10/'Seite 1 '!$I$10)</f>
        <v>0</v>
      </c>
      <c r="K10" s="553"/>
    </row>
    <row r="11" spans="1:15" ht="31.5" customHeight="1">
      <c r="A11" s="253"/>
      <c r="B11" s="557" t="s">
        <v>115</v>
      </c>
      <c r="C11" s="558"/>
      <c r="D11" s="558"/>
      <c r="E11" s="558"/>
      <c r="F11" s="558"/>
      <c r="G11" s="558"/>
      <c r="H11" s="559">
        <f>'Seite 1 '!M26</f>
        <v>8243.6</v>
      </c>
      <c r="I11" s="1"/>
      <c r="J11" s="627">
        <f>IF('Seite 1 '!I10=0,0,H11/'Seite 1 '!$I$10)</f>
        <v>8243.6</v>
      </c>
      <c r="K11" s="560"/>
      <c r="M11" s="637"/>
      <c r="N11" s="637"/>
      <c r="O11" s="637"/>
    </row>
    <row r="12" spans="2:11" ht="31.5" customHeight="1">
      <c r="B12" s="561"/>
      <c r="C12" s="549" t="str">
        <f>'Seite 1 '!C28</f>
        <v> Bestandsergänzung</v>
      </c>
      <c r="D12" s="549"/>
      <c r="E12" s="549"/>
      <c r="F12" s="549"/>
      <c r="G12" s="549"/>
      <c r="H12" s="556">
        <f>'Seite 1 '!M28</f>
        <v>3000</v>
      </c>
      <c r="I12" s="317"/>
      <c r="J12" s="552">
        <f>IF('Seite 1 '!I10=0,0,H12/'Seite 1 '!$I$10)</f>
        <v>3000</v>
      </c>
      <c r="K12" s="553"/>
    </row>
    <row r="13" spans="2:11" ht="31.5" customHeight="1">
      <c r="B13" s="562"/>
      <c r="C13" s="555" t="str">
        <f>'Seite 1 '!C30</f>
        <v> Aufzuchtkosten</v>
      </c>
      <c r="D13" s="555"/>
      <c r="E13" s="555"/>
      <c r="F13" s="555"/>
      <c r="G13" s="555"/>
      <c r="H13" s="556">
        <f>'Seite 1 '!M30</f>
        <v>0</v>
      </c>
      <c r="I13" s="1"/>
      <c r="J13" s="626">
        <f>IF('Seite 1 '!I10=0,0,H13/'Seite 1 '!$I$10)</f>
        <v>0</v>
      </c>
      <c r="K13" s="553"/>
    </row>
    <row r="14" spans="2:11" ht="31.5" customHeight="1">
      <c r="B14" s="562"/>
      <c r="C14" s="555" t="s">
        <v>202</v>
      </c>
      <c r="D14" s="555"/>
      <c r="E14" s="555"/>
      <c r="F14" s="555"/>
      <c r="G14" s="555"/>
      <c r="H14" s="556">
        <f>'Seite 1 '!M32</f>
        <v>1389</v>
      </c>
      <c r="I14" s="1"/>
      <c r="J14" s="626">
        <f>IF('Seite 1 '!I10=0,0,H14/'Seite 1 '!$I$10)</f>
        <v>1389</v>
      </c>
      <c r="K14" s="553"/>
    </row>
    <row r="15" spans="2:11" ht="31.5" customHeight="1">
      <c r="B15" s="562"/>
      <c r="C15" s="555" t="s">
        <v>182</v>
      </c>
      <c r="D15" s="555"/>
      <c r="E15" s="555"/>
      <c r="F15" s="555"/>
      <c r="G15" s="555"/>
      <c r="H15" s="556">
        <f>'Seite 1 '!M44</f>
        <v>1790</v>
      </c>
      <c r="I15" s="1"/>
      <c r="J15" s="626">
        <f>IF('Seite 1 '!I10=0,0,H15/'Seite 1 '!$I$10)</f>
        <v>1790</v>
      </c>
      <c r="K15" s="553"/>
    </row>
    <row r="16" spans="2:11" ht="31.5" customHeight="1">
      <c r="B16" s="562"/>
      <c r="C16" s="555" t="str">
        <f>'Seite 1 '!C52</f>
        <v> Variable Lohnkosten</v>
      </c>
      <c r="D16" s="555"/>
      <c r="E16" s="555"/>
      <c r="F16" s="555"/>
      <c r="G16" s="555"/>
      <c r="H16" s="556">
        <f>'Seite 1 '!M52</f>
        <v>0</v>
      </c>
      <c r="I16" s="1"/>
      <c r="J16" s="626">
        <f>IF('Seite 1 '!I10=0,0,H16/'Seite 1 '!$I$10)</f>
        <v>0</v>
      </c>
      <c r="K16" s="553"/>
    </row>
    <row r="17" spans="2:11" ht="31.5" customHeight="1">
      <c r="B17" s="562"/>
      <c r="C17" s="555" t="str">
        <f>'Seite 1 '!C53</f>
        <v> Zinsansatz</v>
      </c>
      <c r="D17" s="555"/>
      <c r="E17" s="555"/>
      <c r="F17" s="555"/>
      <c r="G17" s="555"/>
      <c r="H17" s="556">
        <f>'Seite 1 '!M53</f>
        <v>736.11</v>
      </c>
      <c r="I17" s="1"/>
      <c r="J17" s="626">
        <f>IF('Seite 1 '!I10=0,0,H17/'Seite 1 '!$I$10)</f>
        <v>736.11</v>
      </c>
      <c r="K17" s="553"/>
    </row>
    <row r="18" spans="2:15" ht="37.5" customHeight="1" thickBot="1">
      <c r="B18" s="563" t="s">
        <v>116</v>
      </c>
      <c r="C18" s="210"/>
      <c r="D18" s="558"/>
      <c r="E18" s="558"/>
      <c r="F18" s="558"/>
      <c r="G18" s="558"/>
      <c r="H18" s="564">
        <f>SUM(H12:H17)</f>
        <v>6915.11</v>
      </c>
      <c r="I18" s="1"/>
      <c r="J18" s="628">
        <f>IF('Seite 1 '!I10=0,0,H18/'Seite 1 '!$I$10)</f>
        <v>6915.11</v>
      </c>
      <c r="K18" s="553"/>
      <c r="M18" s="637"/>
      <c r="N18" s="637"/>
      <c r="O18" s="637"/>
    </row>
    <row r="19" spans="1:15" ht="49.5" customHeight="1" thickBot="1">
      <c r="A19" s="253"/>
      <c r="B19" s="565" t="s">
        <v>187</v>
      </c>
      <c r="C19" s="566"/>
      <c r="D19" s="566"/>
      <c r="E19" s="566"/>
      <c r="F19" s="566"/>
      <c r="G19" s="566"/>
      <c r="H19" s="649">
        <f>'Seite 1 '!M58</f>
        <v>1328.4900000000007</v>
      </c>
      <c r="I19" s="650"/>
      <c r="J19" s="651">
        <f>IF('Seite 1 '!I10=0,0,H19/'Seite 1 '!$I$10)</f>
        <v>1328.4900000000007</v>
      </c>
      <c r="K19" s="567"/>
      <c r="M19" s="637"/>
      <c r="N19" s="637"/>
      <c r="O19" s="637"/>
    </row>
    <row r="20" spans="2:11" ht="28.5" customHeight="1">
      <c r="B20" s="568"/>
      <c r="C20" s="555" t="s">
        <v>117</v>
      </c>
      <c r="D20" s="555"/>
      <c r="E20" s="555"/>
      <c r="F20" s="555"/>
      <c r="G20" s="555"/>
      <c r="H20" s="556">
        <f>'Seite 2'!K46</f>
        <v>78.8</v>
      </c>
      <c r="I20" s="1"/>
      <c r="J20" s="626">
        <f>IF('Seite 1 '!I10=0,0,H20/'Seite 1 '!$I$10)</f>
        <v>78.8</v>
      </c>
      <c r="K20" s="553"/>
    </row>
    <row r="21" spans="2:11" ht="31.5" customHeight="1">
      <c r="B21" s="568"/>
      <c r="C21" s="555" t="s">
        <v>118</v>
      </c>
      <c r="D21" s="555"/>
      <c r="E21" s="555"/>
      <c r="F21" s="555"/>
      <c r="G21" s="555"/>
      <c r="H21" s="556">
        <f>'Seite 2'!K58</f>
        <v>300</v>
      </c>
      <c r="I21" s="1"/>
      <c r="J21" s="626">
        <f>IF('Seite 1 '!I10=0,0,H21/'Seite 1 '!$I$10)</f>
        <v>300</v>
      </c>
      <c r="K21" s="553"/>
    </row>
    <row r="22" spans="2:11" ht="31.5" customHeight="1" hidden="1">
      <c r="B22" s="568"/>
      <c r="C22" s="555" t="s">
        <v>119</v>
      </c>
      <c r="D22" s="555"/>
      <c r="E22" s="555"/>
      <c r="F22" s="555"/>
      <c r="G22" s="555"/>
      <c r="H22" s="556">
        <f>'Seite 3'!J8</f>
        <v>0</v>
      </c>
      <c r="I22" s="1"/>
      <c r="J22" s="626">
        <f>IF('Seite 1 '!I10=0,0,H22/'Seite 1 '!$I$10)</f>
        <v>0</v>
      </c>
      <c r="K22" s="553"/>
    </row>
    <row r="23" spans="2:11" ht="31.5" customHeight="1">
      <c r="B23" s="568"/>
      <c r="C23" s="555" t="s">
        <v>211</v>
      </c>
      <c r="D23" s="555"/>
      <c r="E23" s="555"/>
      <c r="F23" s="555"/>
      <c r="G23" s="555"/>
      <c r="H23" s="556">
        <f>'Seite 3'!J11</f>
        <v>1518</v>
      </c>
      <c r="I23" s="1"/>
      <c r="J23" s="626">
        <f>IF('Seite 1 '!I10=0,0,H23/'Seite 1 '!$I$10)</f>
        <v>1518</v>
      </c>
      <c r="K23" s="553"/>
    </row>
    <row r="24" spans="2:13" ht="31.5" customHeight="1">
      <c r="B24" s="568"/>
      <c r="C24" s="555" t="s">
        <v>120</v>
      </c>
      <c r="D24" s="555"/>
      <c r="E24" s="555"/>
      <c r="F24" s="555"/>
      <c r="G24" s="555"/>
      <c r="H24" s="556">
        <f>'Seite 3'!J16+'Seite 3'!J20</f>
        <v>140</v>
      </c>
      <c r="I24" s="1"/>
      <c r="J24" s="626">
        <f>IF('Seite 1 '!I10=0,0,H24/'Seite 1 '!$I$10)</f>
        <v>140</v>
      </c>
      <c r="K24" s="553"/>
      <c r="M24" s="538"/>
    </row>
    <row r="25" spans="1:15" ht="41.25" customHeight="1" thickBot="1">
      <c r="A25" s="253"/>
      <c r="B25" s="570" t="s">
        <v>121</v>
      </c>
      <c r="C25" s="289"/>
      <c r="D25" s="571"/>
      <c r="E25" s="571"/>
      <c r="F25" s="571"/>
      <c r="G25" s="571"/>
      <c r="H25" s="572">
        <f>SUM(H20:H24)</f>
        <v>2036.8</v>
      </c>
      <c r="I25" s="571"/>
      <c r="J25" s="629">
        <f>IF('Seite 1 '!I10=0,0,H25/'Seite 1 '!$I$10)</f>
        <v>2036.8</v>
      </c>
      <c r="K25" s="573"/>
      <c r="O25" s="268"/>
    </row>
    <row r="26" spans="1:15" ht="11.25" customHeight="1" thickBot="1">
      <c r="A26" s="253"/>
      <c r="B26" s="605"/>
      <c r="C26" s="212"/>
      <c r="D26" s="555"/>
      <c r="E26" s="555"/>
      <c r="F26" s="555"/>
      <c r="G26" s="555"/>
      <c r="H26" s="711"/>
      <c r="I26" s="710"/>
      <c r="J26" s="708"/>
      <c r="K26" s="212"/>
      <c r="O26" s="268"/>
    </row>
    <row r="27" spans="1:15" ht="41.25" customHeight="1" thickBot="1">
      <c r="A27" s="253"/>
      <c r="B27" s="709" t="s">
        <v>201</v>
      </c>
      <c r="C27" s="527"/>
      <c r="D27" s="710"/>
      <c r="E27" s="710"/>
      <c r="F27" s="710"/>
      <c r="G27" s="710"/>
      <c r="H27" s="572">
        <f>H18+H25</f>
        <v>8951.91</v>
      </c>
      <c r="I27" s="571"/>
      <c r="J27" s="774">
        <f>J18+J25</f>
        <v>8951.91</v>
      </c>
      <c r="K27" s="712"/>
      <c r="O27" s="268"/>
    </row>
    <row r="28" spans="2:11" ht="27" customHeight="1" thickBot="1">
      <c r="B28" s="555"/>
      <c r="C28" s="555"/>
      <c r="D28" s="555"/>
      <c r="E28" s="555"/>
      <c r="F28" s="555"/>
      <c r="G28" s="555"/>
      <c r="H28" s="574"/>
      <c r="I28" s="212"/>
      <c r="J28" s="443"/>
      <c r="K28" s="212"/>
    </row>
    <row r="29" spans="2:13" ht="54" customHeight="1">
      <c r="B29" s="807" t="s">
        <v>244</v>
      </c>
      <c r="C29" s="808"/>
      <c r="D29" s="808"/>
      <c r="E29" s="808"/>
      <c r="F29" s="809"/>
      <c r="G29" s="726" t="s">
        <v>206</v>
      </c>
      <c r="H29" s="727">
        <f>H11-H27</f>
        <v>-708.3099999999995</v>
      </c>
      <c r="I29" s="728"/>
      <c r="J29" s="813">
        <f>IF('Seite 1 '!I10=0,0,H29/'Seite 1 '!$I$10)</f>
        <v>-708.3099999999995</v>
      </c>
      <c r="K29" s="814"/>
      <c r="M29" s="637"/>
    </row>
    <row r="30" spans="2:11" ht="44.25" customHeight="1" thickBot="1">
      <c r="B30" s="810"/>
      <c r="C30" s="811"/>
      <c r="D30" s="811"/>
      <c r="E30" s="811"/>
      <c r="F30" s="812"/>
      <c r="G30" s="725" t="s">
        <v>207</v>
      </c>
      <c r="H30" s="652">
        <f>H29+H23</f>
        <v>809.6900000000005</v>
      </c>
      <c r="I30" s="653"/>
      <c r="J30" s="815">
        <f>J29+J23</f>
        <v>809.6900000000005</v>
      </c>
      <c r="K30" s="816"/>
    </row>
    <row r="31" spans="2:11" ht="18.75" customHeight="1" thickBot="1">
      <c r="B31" s="1"/>
      <c r="C31" s="1"/>
      <c r="D31" s="1"/>
      <c r="E31" s="1"/>
      <c r="F31" s="1"/>
      <c r="G31" s="1"/>
      <c r="H31" s="1"/>
      <c r="I31" s="1"/>
      <c r="J31" s="1"/>
      <c r="K31" s="254"/>
    </row>
    <row r="32" spans="2:11" ht="51.75" customHeight="1">
      <c r="B32" s="807" t="s">
        <v>183</v>
      </c>
      <c r="C32" s="808"/>
      <c r="D32" s="808"/>
      <c r="E32" s="808"/>
      <c r="F32" s="809"/>
      <c r="G32" s="726" t="s">
        <v>206</v>
      </c>
      <c r="H32" s="750"/>
      <c r="I32" s="750"/>
      <c r="J32" s="817">
        <f>J27-J9</f>
        <v>8708.31</v>
      </c>
      <c r="K32" s="818"/>
    </row>
    <row r="33" spans="2:11" ht="48" customHeight="1" thickBot="1">
      <c r="B33" s="810"/>
      <c r="C33" s="811"/>
      <c r="D33" s="811"/>
      <c r="E33" s="811"/>
      <c r="F33" s="812"/>
      <c r="G33" s="725" t="s">
        <v>207</v>
      </c>
      <c r="H33" s="751"/>
      <c r="I33" s="751"/>
      <c r="J33" s="819">
        <f>J32-J23</f>
        <v>7190.3099999999995</v>
      </c>
      <c r="K33" s="820"/>
    </row>
    <row r="34" spans="2:7" ht="25.5">
      <c r="B34" s="530"/>
      <c r="C34" s="530"/>
      <c r="D34" s="530"/>
      <c r="E34" s="530"/>
      <c r="F34" s="530"/>
      <c r="G34" s="530"/>
    </row>
    <row r="35" spans="2:7" ht="25.5">
      <c r="B35" s="530"/>
      <c r="C35" s="530"/>
      <c r="D35" s="530"/>
      <c r="E35" s="530"/>
      <c r="F35" s="530"/>
      <c r="G35" s="530"/>
    </row>
    <row r="36" spans="2:7" ht="25.5">
      <c r="B36" s="530"/>
      <c r="C36" s="530"/>
      <c r="D36" s="530"/>
      <c r="E36" s="530"/>
      <c r="F36" s="530"/>
      <c r="G36" s="530"/>
    </row>
    <row r="37" spans="2:7" ht="25.5">
      <c r="B37" s="530"/>
      <c r="C37" s="530"/>
      <c r="D37" s="530"/>
      <c r="E37" s="530"/>
      <c r="F37" s="530"/>
      <c r="G37" s="530"/>
    </row>
    <row r="38" spans="2:7" ht="25.5">
      <c r="B38" s="530"/>
      <c r="C38" s="530"/>
      <c r="D38" s="530"/>
      <c r="E38" s="530"/>
      <c r="F38" s="530"/>
      <c r="G38" s="530"/>
    </row>
    <row r="39" spans="2:7" ht="25.5">
      <c r="B39" s="530"/>
      <c r="C39" s="530"/>
      <c r="D39" s="530"/>
      <c r="E39" s="530"/>
      <c r="F39" s="530"/>
      <c r="G39" s="530"/>
    </row>
    <row r="40" spans="2:7" ht="25.5">
      <c r="B40" s="530"/>
      <c r="C40" s="530"/>
      <c r="D40" s="530"/>
      <c r="E40" s="530"/>
      <c r="F40" s="530"/>
      <c r="G40" s="530"/>
    </row>
    <row r="41" spans="2:7" ht="25.5">
      <c r="B41" s="530"/>
      <c r="C41" s="530"/>
      <c r="D41" s="530"/>
      <c r="E41" s="530"/>
      <c r="F41" s="530"/>
      <c r="G41" s="530"/>
    </row>
    <row r="42" spans="2:7" ht="25.5">
      <c r="B42" s="530"/>
      <c r="C42" s="530"/>
      <c r="D42" s="530"/>
      <c r="E42" s="530"/>
      <c r="F42" s="530"/>
      <c r="G42" s="530"/>
    </row>
    <row r="43" spans="2:7" ht="25.5">
      <c r="B43" s="530"/>
      <c r="C43" s="530"/>
      <c r="D43" s="530"/>
      <c r="E43" s="530"/>
      <c r="F43" s="530"/>
      <c r="G43" s="530"/>
    </row>
  </sheetData>
  <sheetProtection sheet="1" objects="1" scenarios="1"/>
  <mergeCells count="9">
    <mergeCell ref="B32:F33"/>
    <mergeCell ref="J29:K29"/>
    <mergeCell ref="J30:K30"/>
    <mergeCell ref="J32:K32"/>
    <mergeCell ref="J33:K33"/>
    <mergeCell ref="G2:K2"/>
    <mergeCell ref="J7:K7"/>
    <mergeCell ref="H7:I7"/>
    <mergeCell ref="B29:F30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73" r:id="rId1"/>
  <headerFooter alignWithMargins="0">
    <oddFooter>&amp;LLEL Schwäbisch Gmünd
&amp;D&amp;C&amp;F&amp;R&amp;A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showZeros="0" zoomScale="75" zoomScaleNormal="75" workbookViewId="0" topLeftCell="A1">
      <selection activeCell="M7" sqref="M7"/>
    </sheetView>
  </sheetViews>
  <sheetFormatPr defaultColWidth="11.421875" defaultRowHeight="12.75"/>
  <cols>
    <col min="1" max="1" width="2.00390625" style="533" customWidth="1"/>
    <col min="2" max="2" width="4.140625" style="533" customWidth="1"/>
    <col min="3" max="3" width="4.28125" style="530" customWidth="1"/>
    <col min="4" max="4" width="11.57421875" style="530" customWidth="1"/>
    <col min="5" max="5" width="7.140625" style="530" customWidth="1"/>
    <col min="6" max="6" width="8.28125" style="530" customWidth="1"/>
    <col min="7" max="7" width="16.28125" style="530" customWidth="1"/>
    <col min="8" max="8" width="15.8515625" style="530" customWidth="1"/>
    <col min="9" max="9" width="23.7109375" style="530" customWidth="1"/>
    <col min="10" max="10" width="12.8515625" style="530" customWidth="1"/>
    <col min="11" max="11" width="22.7109375" style="530" customWidth="1"/>
    <col min="12" max="12" width="11.421875" style="530" customWidth="1"/>
    <col min="13" max="16384" width="11.421875" style="533" customWidth="1"/>
  </cols>
  <sheetData>
    <row r="1" spans="1:12" ht="6" customHeight="1">
      <c r="A1" s="366"/>
      <c r="L1" s="533"/>
    </row>
    <row r="2" spans="2:17" ht="27.75" customHeight="1">
      <c r="B2" s="576" t="s">
        <v>0</v>
      </c>
      <c r="C2" s="533"/>
      <c r="D2" s="577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1" ht="27.75" customHeight="1">
      <c r="B3" s="578" t="str">
        <f>'Seite 1 '!B3</f>
        <v> - Produktionsverfahren Fohlenaufzucht -</v>
      </c>
      <c r="C3" s="233"/>
      <c r="D3" s="577"/>
      <c r="K3" s="579"/>
    </row>
    <row r="4" ht="15" customHeight="1"/>
    <row r="5" spans="2:12" ht="32.25" customHeight="1">
      <c r="B5" s="821" t="str">
        <f>'Seite 1 '!I2</f>
        <v>Fohlenaufzucht 6 bis 36 Mon.</v>
      </c>
      <c r="C5" s="822"/>
      <c r="D5" s="822"/>
      <c r="E5" s="822"/>
      <c r="F5" s="822"/>
      <c r="G5" s="822"/>
      <c r="H5" s="822"/>
      <c r="I5" s="822"/>
      <c r="J5" s="822"/>
      <c r="K5" s="823"/>
      <c r="L5" s="580"/>
    </row>
    <row r="6" spans="2:12" ht="29.25" customHeight="1">
      <c r="B6" s="581"/>
      <c r="C6" s="582"/>
      <c r="D6" s="583"/>
      <c r="E6" s="582"/>
      <c r="F6" s="584"/>
      <c r="G6" s="584"/>
      <c r="H6" s="584"/>
      <c r="I6" s="584"/>
      <c r="J6" s="584"/>
      <c r="K6" s="584"/>
      <c r="L6" s="580"/>
    </row>
    <row r="7" spans="2:12" ht="30" customHeight="1">
      <c r="B7" s="534" t="s">
        <v>112</v>
      </c>
      <c r="C7" s="621"/>
      <c r="D7" s="586"/>
      <c r="E7" s="1"/>
      <c r="F7" s="617" t="s">
        <v>122</v>
      </c>
      <c r="G7" s="630">
        <f>'Seite 1 '!J10</f>
        <v>8000</v>
      </c>
      <c r="H7" s="618" t="s">
        <v>245</v>
      </c>
      <c r="I7" s="638">
        <f>'Folie 1'!I5</f>
        <v>0</v>
      </c>
      <c r="J7" s="585">
        <f>'Folie 1'!J5</f>
        <v>0</v>
      </c>
      <c r="K7" s="585">
        <f>'Folie 1'!K5</f>
        <v>0</v>
      </c>
      <c r="L7" s="580"/>
    </row>
    <row r="8" spans="3:12" ht="30" customHeight="1" thickBot="1">
      <c r="C8" s="545"/>
      <c r="D8" s="533"/>
      <c r="E8" s="545"/>
      <c r="F8" s="587"/>
      <c r="G8" s="588"/>
      <c r="H8" s="589"/>
      <c r="I8" s="590"/>
      <c r="J8" s="591"/>
      <c r="K8" s="592"/>
      <c r="L8" s="580"/>
    </row>
    <row r="9" spans="2:12" ht="30" customHeight="1">
      <c r="B9" s="593"/>
      <c r="C9" s="594"/>
      <c r="D9" s="595"/>
      <c r="E9" s="594"/>
      <c r="F9" s="596"/>
      <c r="G9" s="597"/>
      <c r="H9" s="598"/>
      <c r="I9" s="599"/>
      <c r="J9" s="598"/>
      <c r="K9" s="600"/>
      <c r="L9" s="580"/>
    </row>
    <row r="10" spans="1:12" ht="30" customHeight="1">
      <c r="A10" s="366"/>
      <c r="B10" s="601"/>
      <c r="C10" s="602" t="s">
        <v>177</v>
      </c>
      <c r="D10" s="555"/>
      <c r="E10" s="555"/>
      <c r="F10" s="555"/>
      <c r="G10" s="555"/>
      <c r="H10" s="555"/>
      <c r="I10" s="319"/>
      <c r="J10" s="555"/>
      <c r="K10" s="603"/>
      <c r="L10" s="533"/>
    </row>
    <row r="11" spans="2:12" ht="30" customHeight="1">
      <c r="B11" s="601"/>
      <c r="C11" s="555"/>
      <c r="D11" s="569" t="s">
        <v>208</v>
      </c>
      <c r="E11" s="555"/>
      <c r="F11" s="555"/>
      <c r="G11" s="555"/>
      <c r="H11" s="555"/>
      <c r="I11" s="319"/>
      <c r="J11" s="608">
        <f>'Seite 3'!L27</f>
        <v>8708.31</v>
      </c>
      <c r="K11" s="603" t="str">
        <f>H7</f>
        <v>€ / Jungpferd</v>
      </c>
      <c r="L11" s="532"/>
    </row>
    <row r="12" spans="2:12" ht="31.5" customHeight="1" hidden="1">
      <c r="B12" s="601"/>
      <c r="C12" s="555"/>
      <c r="D12" s="569" t="s">
        <v>181</v>
      </c>
      <c r="E12" s="569"/>
      <c r="F12" s="569"/>
      <c r="G12" s="569"/>
      <c r="H12" s="569"/>
      <c r="I12" s="319"/>
      <c r="J12" s="625" t="e">
        <f>'Seite 3'!L27+#REF!</f>
        <v>#REF!</v>
      </c>
      <c r="K12" s="603">
        <f>H8</f>
        <v>0</v>
      </c>
      <c r="L12" s="545"/>
    </row>
    <row r="13" spans="2:12" ht="30" customHeight="1">
      <c r="B13" s="601"/>
      <c r="C13" s="319"/>
      <c r="D13" s="640" t="s">
        <v>209</v>
      </c>
      <c r="E13" s="319"/>
      <c r="F13" s="319"/>
      <c r="G13" s="319"/>
      <c r="H13" s="319"/>
      <c r="I13" s="319"/>
      <c r="J13" s="608">
        <f>J11-'Seite 3'!L11</f>
        <v>7190.3099999999995</v>
      </c>
      <c r="K13" s="639" t="str">
        <f>H7</f>
        <v>€ / Jungpferd</v>
      </c>
      <c r="L13" s="532"/>
    </row>
    <row r="14" spans="2:12" ht="57.75" customHeight="1">
      <c r="B14" s="601"/>
      <c r="C14" s="605" t="str">
        <f>'Seite 3'!C29</f>
        <v> Kalkulatorisches Betriebszweigergebnis</v>
      </c>
      <c r="D14" s="606"/>
      <c r="E14" s="607"/>
      <c r="F14" s="607"/>
      <c r="G14" s="607"/>
      <c r="H14" s="607"/>
      <c r="I14" s="319"/>
      <c r="J14" s="608">
        <f>'Seite 3'!J29</f>
        <v>-708.3099999999993</v>
      </c>
      <c r="K14" s="603" t="s">
        <v>246</v>
      </c>
      <c r="L14" s="532"/>
    </row>
    <row r="15" spans="2:12" ht="9" customHeight="1">
      <c r="B15" s="601"/>
      <c r="C15" s="319"/>
      <c r="D15" s="319"/>
      <c r="E15" s="319"/>
      <c r="F15" s="319"/>
      <c r="G15" s="319"/>
      <c r="H15" s="319"/>
      <c r="I15" s="319"/>
      <c r="J15" s="319"/>
      <c r="K15" s="622"/>
      <c r="L15" s="609"/>
    </row>
    <row r="16" spans="1:12" ht="38.25" customHeight="1">
      <c r="A16" s="366"/>
      <c r="B16" s="601"/>
      <c r="C16" s="602" t="s">
        <v>123</v>
      </c>
      <c r="D16" s="555"/>
      <c r="E16" s="555"/>
      <c r="F16" s="555"/>
      <c r="G16" s="555"/>
      <c r="H16" s="555"/>
      <c r="I16" s="319"/>
      <c r="J16" s="555"/>
      <c r="K16" s="603"/>
      <c r="L16" s="545"/>
    </row>
    <row r="17" spans="2:12" ht="33" customHeight="1">
      <c r="B17" s="601"/>
      <c r="C17" s="555"/>
      <c r="D17" s="555" t="s">
        <v>210</v>
      </c>
      <c r="E17" s="555"/>
      <c r="F17" s="555"/>
      <c r="G17" s="555"/>
      <c r="H17" s="555"/>
      <c r="I17" s="319"/>
      <c r="J17" s="604">
        <f>'Seite 3'!L33</f>
        <v>6.664115226337454</v>
      </c>
      <c r="K17" s="603" t="s">
        <v>165</v>
      </c>
      <c r="L17" s="545"/>
    </row>
    <row r="18" spans="2:12" ht="31.5" customHeight="1">
      <c r="B18" s="601"/>
      <c r="C18" s="555"/>
      <c r="D18" s="555" t="s">
        <v>124</v>
      </c>
      <c r="E18" s="555"/>
      <c r="F18" s="555"/>
      <c r="G18" s="555"/>
      <c r="H18" s="555"/>
      <c r="I18" s="319"/>
      <c r="J18" s="608">
        <f>'Seite 3'!J34</f>
        <v>-408.30999999999926</v>
      </c>
      <c r="K18" s="603" t="s">
        <v>246</v>
      </c>
      <c r="L18" s="545"/>
    </row>
    <row r="19" spans="2:12" ht="31.5" customHeight="1">
      <c r="B19" s="601"/>
      <c r="C19" s="555"/>
      <c r="D19" s="610" t="s">
        <v>189</v>
      </c>
      <c r="E19" s="610"/>
      <c r="F19" s="610"/>
      <c r="G19" s="610"/>
      <c r="H19" s="610"/>
      <c r="I19" s="355"/>
      <c r="J19" s="611">
        <f>'Seite 3'!L35</f>
        <v>-5444.133333333323</v>
      </c>
      <c r="K19" s="603" t="s">
        <v>246</v>
      </c>
      <c r="L19" s="545"/>
    </row>
    <row r="20" spans="2:12" ht="31.5" customHeight="1" hidden="1">
      <c r="B20" s="601"/>
      <c r="C20" s="555"/>
      <c r="D20" s="555" t="s">
        <v>125</v>
      </c>
      <c r="E20" s="555"/>
      <c r="F20" s="555"/>
      <c r="G20" s="555"/>
      <c r="H20" s="555"/>
      <c r="I20" s="613"/>
      <c r="J20" s="620" t="e">
        <f>IF('Seite 3'!#REF!=0,"----",'Seite 3'!#REF!)</f>
        <v>#REF!</v>
      </c>
      <c r="K20" s="612" t="s">
        <v>160</v>
      </c>
      <c r="L20" s="545"/>
    </row>
    <row r="21" spans="2:12" ht="30" customHeight="1" hidden="1">
      <c r="B21" s="601"/>
      <c r="C21" s="602"/>
      <c r="D21" s="555"/>
      <c r="E21" s="555"/>
      <c r="F21" s="555"/>
      <c r="G21" s="555"/>
      <c r="H21" s="555"/>
      <c r="I21" s="555"/>
      <c r="J21" s="555"/>
      <c r="K21" s="614"/>
      <c r="L21" s="609"/>
    </row>
    <row r="22" spans="1:12" ht="58.5" customHeight="1">
      <c r="A22" s="366"/>
      <c r="B22" s="601"/>
      <c r="C22" s="605" t="s">
        <v>126</v>
      </c>
      <c r="D22" s="555"/>
      <c r="E22" s="555"/>
      <c r="F22" s="555"/>
      <c r="G22" s="555"/>
      <c r="H22" s="555"/>
      <c r="I22" s="319"/>
      <c r="J22" s="608"/>
      <c r="K22" s="603"/>
      <c r="L22" s="545"/>
    </row>
    <row r="23" spans="2:12" ht="22.5" customHeight="1">
      <c r="B23" s="601"/>
      <c r="C23" s="555"/>
      <c r="D23" s="555" t="str">
        <f>D17</f>
        <v>Verwertung der Arbeit der ständigen AK</v>
      </c>
      <c r="E23" s="555"/>
      <c r="F23" s="555"/>
      <c r="G23" s="555"/>
      <c r="H23" s="555"/>
      <c r="I23" s="319"/>
      <c r="J23" s="620">
        <f>'Seite 3'!L37</f>
        <v>9.13325102880659</v>
      </c>
      <c r="K23" s="603" t="str">
        <f>K17</f>
        <v> € / AKh</v>
      </c>
      <c r="L23" s="545"/>
    </row>
    <row r="24" spans="2:12" ht="33" customHeight="1" hidden="1">
      <c r="B24" s="601"/>
      <c r="C24" s="602"/>
      <c r="D24" s="555" t="s">
        <v>127</v>
      </c>
      <c r="E24" s="555"/>
      <c r="F24" s="555"/>
      <c r="G24" s="555"/>
      <c r="H24" s="555"/>
      <c r="I24" s="319"/>
      <c r="J24" s="620" t="str">
        <f>IF('Seite 3'!L39=0,"----",'Seite 3'!L39)</f>
        <v>----</v>
      </c>
      <c r="K24" s="603" t="str">
        <f>K20</f>
        <v> € / kg</v>
      </c>
      <c r="L24" s="545"/>
    </row>
    <row r="25" spans="2:12" ht="30" customHeight="1" hidden="1">
      <c r="B25" s="601"/>
      <c r="C25" s="605"/>
      <c r="D25" s="555"/>
      <c r="E25" s="555"/>
      <c r="F25" s="555"/>
      <c r="G25" s="555"/>
      <c r="H25" s="555"/>
      <c r="I25" s="319"/>
      <c r="J25" s="608"/>
      <c r="K25" s="603"/>
      <c r="L25" s="609"/>
    </row>
    <row r="26" spans="2:12" ht="31.5" customHeight="1" hidden="1">
      <c r="B26" s="601"/>
      <c r="C26" s="602" t="s">
        <v>128</v>
      </c>
      <c r="D26" s="555"/>
      <c r="E26" s="555"/>
      <c r="F26" s="555"/>
      <c r="G26" s="555"/>
      <c r="H26" s="555"/>
      <c r="I26" s="555"/>
      <c r="J26" s="555"/>
      <c r="K26" s="614"/>
      <c r="L26" s="545"/>
    </row>
    <row r="27" spans="2:12" ht="33" customHeight="1" hidden="1">
      <c r="B27" s="601"/>
      <c r="C27" s="606"/>
      <c r="D27" s="555" t="s">
        <v>127</v>
      </c>
      <c r="E27" s="606"/>
      <c r="F27" s="606"/>
      <c r="G27" s="606"/>
      <c r="H27" s="606"/>
      <c r="I27" s="606"/>
      <c r="J27" s="620" t="str">
        <f>IF('Seite 3'!L41=0,"----",'Seite 3'!L41)</f>
        <v>----</v>
      </c>
      <c r="K27" s="603" t="str">
        <f>K24</f>
        <v> € / kg</v>
      </c>
      <c r="L27" s="545"/>
    </row>
    <row r="28" spans="2:12" ht="11.25" customHeight="1" thickBot="1">
      <c r="B28" s="615"/>
      <c r="C28" s="619"/>
      <c r="D28" s="619"/>
      <c r="E28" s="619"/>
      <c r="F28" s="619"/>
      <c r="G28" s="619"/>
      <c r="H28" s="619"/>
      <c r="I28" s="619"/>
      <c r="J28" s="619"/>
      <c r="K28" s="616"/>
      <c r="L28" s="545"/>
    </row>
    <row r="29" spans="11:12" ht="25.5">
      <c r="K29" s="575"/>
      <c r="L29" s="545"/>
    </row>
    <row r="30" ht="25.5">
      <c r="L30" s="545"/>
    </row>
    <row r="31" ht="25.5">
      <c r="L31" s="545"/>
    </row>
  </sheetData>
  <sheetProtection sheet="1" objects="1" scenarios="1"/>
  <mergeCells count="1">
    <mergeCell ref="B5:K5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74" r:id="rId1"/>
  <headerFooter alignWithMargins="0">
    <oddFooter>&amp;LLEL Schwäbisch Gmünd
&amp;D&amp;C&amp;F&amp;R&amp;A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="75" zoomScaleNormal="75" workbookViewId="0" topLeftCell="A1">
      <selection activeCell="K20" sqref="K20"/>
    </sheetView>
  </sheetViews>
  <sheetFormatPr defaultColWidth="11.421875" defaultRowHeight="12.75"/>
  <cols>
    <col min="1" max="1" width="1.7109375" style="1" customWidth="1"/>
    <col min="2" max="2" width="3.00390625" style="1" customWidth="1"/>
    <col min="3" max="3" width="20.421875" style="1" customWidth="1"/>
    <col min="4" max="6" width="11.421875" style="1" customWidth="1"/>
    <col min="7" max="7" width="4.57421875" style="347" customWidth="1"/>
    <col min="8" max="8" width="24.7109375" style="1" customWidth="1"/>
    <col min="9" max="16384" width="11.421875" style="1" customWidth="1"/>
  </cols>
  <sheetData>
    <row r="1" ht="12.75">
      <c r="A1" s="254"/>
    </row>
    <row r="2" spans="2:7" ht="15.75">
      <c r="B2" s="313" t="s">
        <v>129</v>
      </c>
      <c r="C2" s="314"/>
      <c r="D2" s="314"/>
      <c r="E2" s="315"/>
      <c r="G2" s="1"/>
    </row>
    <row r="3" spans="2:7" ht="12.75">
      <c r="B3" s="308"/>
      <c r="C3" s="322">
        <v>9</v>
      </c>
      <c r="D3" s="2"/>
      <c r="E3" s="316"/>
      <c r="G3" s="1"/>
    </row>
    <row r="4" spans="2:7" ht="12.75">
      <c r="B4" s="303">
        <v>1</v>
      </c>
      <c r="C4" s="28"/>
      <c r="D4" s="317"/>
      <c r="E4" s="318"/>
      <c r="G4" s="1"/>
    </row>
    <row r="5" spans="2:7" ht="12.75">
      <c r="B5" s="304">
        <v>2</v>
      </c>
      <c r="C5" s="30" t="s">
        <v>130</v>
      </c>
      <c r="D5" s="319" t="s">
        <v>131</v>
      </c>
      <c r="E5" s="318" t="s">
        <v>160</v>
      </c>
      <c r="G5" s="1"/>
    </row>
    <row r="6" spans="2:7" ht="12.75">
      <c r="B6" s="304">
        <v>3</v>
      </c>
      <c r="C6" s="30" t="s">
        <v>132</v>
      </c>
      <c r="D6" s="319" t="s">
        <v>133</v>
      </c>
      <c r="E6" s="318" t="s">
        <v>161</v>
      </c>
      <c r="G6" s="1"/>
    </row>
    <row r="7" spans="2:7" ht="12.75">
      <c r="B7" s="306">
        <v>4</v>
      </c>
      <c r="C7" s="60" t="s">
        <v>134</v>
      </c>
      <c r="D7" s="296" t="s">
        <v>133</v>
      </c>
      <c r="E7" s="346" t="s">
        <v>161</v>
      </c>
      <c r="G7" s="1"/>
    </row>
    <row r="8" spans="2:7" ht="12.75">
      <c r="B8" s="304">
        <v>5</v>
      </c>
      <c r="C8" s="30" t="s">
        <v>135</v>
      </c>
      <c r="D8" s="319" t="s">
        <v>136</v>
      </c>
      <c r="E8" s="318" t="s">
        <v>162</v>
      </c>
      <c r="G8" s="1"/>
    </row>
    <row r="9" spans="2:7" ht="12.75">
      <c r="B9" s="306">
        <v>6</v>
      </c>
      <c r="C9" s="60" t="s">
        <v>137</v>
      </c>
      <c r="D9" s="296" t="s">
        <v>138</v>
      </c>
      <c r="E9" s="346" t="s">
        <v>163</v>
      </c>
      <c r="G9" s="1"/>
    </row>
    <row r="10" spans="2:7" ht="12.75">
      <c r="B10" s="304">
        <v>7</v>
      </c>
      <c r="C10" s="30" t="s">
        <v>139</v>
      </c>
      <c r="D10" s="319" t="s">
        <v>133</v>
      </c>
      <c r="E10" s="318" t="s">
        <v>161</v>
      </c>
      <c r="G10" s="1"/>
    </row>
    <row r="11" spans="2:7" ht="12.75">
      <c r="B11" s="306">
        <v>8</v>
      </c>
      <c r="C11" s="60" t="s">
        <v>140</v>
      </c>
      <c r="D11" s="296" t="s">
        <v>133</v>
      </c>
      <c r="E11" s="346" t="s">
        <v>161</v>
      </c>
      <c r="G11" s="1"/>
    </row>
    <row r="12" spans="2:7" ht="12.75">
      <c r="B12" s="304">
        <v>9</v>
      </c>
      <c r="C12" s="30" t="s">
        <v>141</v>
      </c>
      <c r="D12" s="319" t="s">
        <v>133</v>
      </c>
      <c r="E12" s="318" t="s">
        <v>198</v>
      </c>
      <c r="G12" s="1"/>
    </row>
    <row r="13" spans="2:7" ht="12.75">
      <c r="B13" s="306">
        <v>10</v>
      </c>
      <c r="C13" s="60" t="s">
        <v>142</v>
      </c>
      <c r="D13" s="296" t="s">
        <v>133</v>
      </c>
      <c r="E13" s="346" t="s">
        <v>161</v>
      </c>
      <c r="G13" s="1"/>
    </row>
    <row r="14" spans="2:7" ht="12.75">
      <c r="B14" s="306">
        <v>11</v>
      </c>
      <c r="C14" s="60" t="s">
        <v>143</v>
      </c>
      <c r="D14" s="296" t="s">
        <v>133</v>
      </c>
      <c r="E14" s="346" t="s">
        <v>161</v>
      </c>
      <c r="G14" s="1"/>
    </row>
    <row r="15" spans="2:5" ht="12.75">
      <c r="B15" s="304">
        <v>12</v>
      </c>
      <c r="C15" s="30" t="s">
        <v>144</v>
      </c>
      <c r="D15" s="319" t="s">
        <v>133</v>
      </c>
      <c r="E15" s="318" t="s">
        <v>161</v>
      </c>
    </row>
    <row r="16" spans="2:5" ht="12.75">
      <c r="B16" s="304">
        <v>13</v>
      </c>
      <c r="C16" s="30" t="s">
        <v>145</v>
      </c>
      <c r="D16" s="319" t="s">
        <v>133</v>
      </c>
      <c r="E16" s="318" t="s">
        <v>161</v>
      </c>
    </row>
    <row r="17" spans="2:5" ht="12.75">
      <c r="B17" s="304">
        <v>14</v>
      </c>
      <c r="C17" s="30" t="s">
        <v>146</v>
      </c>
      <c r="D17" s="319" t="s">
        <v>133</v>
      </c>
      <c r="E17" s="318" t="s">
        <v>161</v>
      </c>
    </row>
    <row r="18" spans="2:5" ht="12.75">
      <c r="B18" s="304">
        <v>15</v>
      </c>
      <c r="C18" s="30" t="s">
        <v>147</v>
      </c>
      <c r="D18" s="319" t="s">
        <v>133</v>
      </c>
      <c r="E18" s="318" t="s">
        <v>161</v>
      </c>
    </row>
    <row r="19" spans="2:5" ht="12.75">
      <c r="B19" s="304">
        <v>16</v>
      </c>
      <c r="C19" s="30" t="s">
        <v>148</v>
      </c>
      <c r="D19" s="319" t="s">
        <v>133</v>
      </c>
      <c r="E19" s="318" t="s">
        <v>161</v>
      </c>
    </row>
    <row r="20" spans="2:5" ht="12.75">
      <c r="B20" s="306">
        <v>17</v>
      </c>
      <c r="C20" s="296" t="s">
        <v>149</v>
      </c>
      <c r="D20" s="319" t="s">
        <v>133</v>
      </c>
      <c r="E20" s="318" t="s">
        <v>161</v>
      </c>
    </row>
    <row r="21" spans="2:5" ht="12.75">
      <c r="B21" s="306">
        <v>18</v>
      </c>
      <c r="C21" s="296" t="s">
        <v>150</v>
      </c>
      <c r="D21" s="2" t="s">
        <v>133</v>
      </c>
      <c r="E21" s="316" t="s">
        <v>161</v>
      </c>
    </row>
    <row r="22" spans="2:5" ht="12.75">
      <c r="B22" s="306">
        <v>19</v>
      </c>
      <c r="C22" s="296" t="s">
        <v>151</v>
      </c>
      <c r="D22" s="296" t="s">
        <v>131</v>
      </c>
      <c r="E22" s="346" t="s">
        <v>160</v>
      </c>
    </row>
    <row r="23" spans="2:5" ht="12.75">
      <c r="B23" s="304">
        <v>20</v>
      </c>
      <c r="C23" s="8" t="s">
        <v>152</v>
      </c>
      <c r="D23" s="355" t="s">
        <v>153</v>
      </c>
      <c r="E23" s="356" t="s">
        <v>164</v>
      </c>
    </row>
    <row r="24" spans="2:5" ht="12.75">
      <c r="B24" s="306">
        <v>21</v>
      </c>
      <c r="C24" s="61"/>
      <c r="D24" s="311"/>
      <c r="E24" s="312"/>
    </row>
    <row r="26" spans="2:3" ht="15.75">
      <c r="B26" s="320" t="s">
        <v>154</v>
      </c>
      <c r="C26" s="321"/>
    </row>
    <row r="27" spans="2:3" ht="12.75">
      <c r="B27" s="308"/>
      <c r="C27" s="323">
        <v>8</v>
      </c>
    </row>
    <row r="28" spans="2:3" ht="12.75">
      <c r="B28" s="304">
        <v>1</v>
      </c>
      <c r="C28" s="305"/>
    </row>
    <row r="29" spans="2:3" ht="12.75">
      <c r="B29" s="358">
        <v>2</v>
      </c>
      <c r="C29" s="359" t="s">
        <v>155</v>
      </c>
    </row>
    <row r="30" spans="2:3" ht="12.75">
      <c r="B30" s="304">
        <v>3</v>
      </c>
      <c r="C30" s="305" t="s">
        <v>156</v>
      </c>
    </row>
    <row r="31" spans="2:3" ht="12.75">
      <c r="B31" s="358">
        <v>4</v>
      </c>
      <c r="C31" s="359" t="s">
        <v>157</v>
      </c>
    </row>
    <row r="32" spans="2:3" ht="12.75">
      <c r="B32" s="304">
        <v>5</v>
      </c>
      <c r="C32" s="305" t="s">
        <v>158</v>
      </c>
    </row>
    <row r="33" spans="2:3" ht="12.75">
      <c r="B33" s="358">
        <v>6</v>
      </c>
      <c r="C33" s="359" t="s">
        <v>159</v>
      </c>
    </row>
    <row r="34" spans="2:3" ht="12.75">
      <c r="B34" s="304">
        <v>7</v>
      </c>
      <c r="C34" s="392" t="s">
        <v>225</v>
      </c>
    </row>
    <row r="35" spans="2:3" ht="12.75">
      <c r="B35" s="306">
        <v>8</v>
      </c>
      <c r="C35" s="393" t="s">
        <v>226</v>
      </c>
    </row>
    <row r="40" ht="12.75">
      <c r="E40" s="254"/>
    </row>
  </sheetData>
  <sheetProtection sheet="1" objects="1" scenarios="1"/>
  <printOptions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r:id="rId1"/>
  <headerFooter alignWithMargins="0">
    <oddFooter>&amp;LLEL Schwäbisch Gmünd&amp;C&amp;F&amp;R&amp;A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vk_marktfrucht</dc:title>
  <dc:subject>Vollkostenrechnung Marktfrüchte</dc:subject>
  <dc:creator>Dr. Segger, Dr. Klotz, Schied</dc:creator>
  <cp:keywords/>
  <dc:description>07/1997</dc:description>
  <cp:lastModifiedBy>SeggerV</cp:lastModifiedBy>
  <cp:lastPrinted>2010-10-04T16:16:43Z</cp:lastPrinted>
  <dcterms:created xsi:type="dcterms:W3CDTF">2002-12-17T12:48:29Z</dcterms:created>
  <dcterms:modified xsi:type="dcterms:W3CDTF">2010-10-05T07:40:03Z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